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ЭтаКнига" defaultThemeVersion="124226"/>
  <bookViews>
    <workbookView xWindow="120" yWindow="195" windowWidth="20115" windowHeight="8895"/>
  </bookViews>
  <sheets>
    <sheet name="Учет данных" sheetId="1" r:id="rId1"/>
    <sheet name="Статистика" sheetId="2" r:id="rId2"/>
    <sheet name="Прогнозирование" sheetId="10" r:id="rId3"/>
    <sheet name="БД" sheetId="7" state="hidden" r:id="rId4"/>
    <sheet name="Справочник" sheetId="8" state="hidden" r:id="rId5"/>
    <sheet name="for_code" sheetId="11" state="hidden" r:id="rId6"/>
  </sheets>
  <externalReferences>
    <externalReference r:id="rId7"/>
  </externalReferences>
  <definedNames>
    <definedName name="forecast_2">[1]СПРАВОЧНИК!$X$2:$X$4</definedName>
    <definedName name="graph_01_1">OFFSET([1]ВОРОНКА!$AA$9,[1]ВОРОНКА!$AC$2-1,0,1,4)</definedName>
    <definedName name="graph_01_2">OFFSET([1]ВОРОНКА!$AA$9,[1]ВОРОНКА!$AK$2-1+3,0,1,4)</definedName>
    <definedName name="graph_02_1">OFFSET([1]ВОРОНКА!$AA$96,[1]ВОРОНКА!$AC$2-1,0,1,4)</definedName>
    <definedName name="graph_02_2">OFFSET([1]ВОРОНКА!$AA$96,[1]ВОРОНКА!$AK$2-1+3,0,1,4)</definedName>
    <definedName name="graph_03_1">OFFSET([1]ВОРОНКА!$AA$183,[1]ВОРОНКА!$AC$2-1,0,1,4)</definedName>
    <definedName name="graph_03_2">OFFSET([1]ВОРОНКА!$AA$183,[1]ВОРОНКА!$AK$2-1+3,0,1,4)</definedName>
    <definedName name="graph_04_1">OFFSET([1]ВОРОНКА!$AA$270,[1]ВОРОНКА!$AC$2-1,0,1,4)</definedName>
    <definedName name="graph_04_2">OFFSET([1]ВОРОНКА!$AA$270,[1]ВОРОНКА!$AK$2-1+3,0,1,4)</definedName>
    <definedName name="graph_05_1">OFFSET([1]ВОРОНКА!$AA$357,[1]ВОРОНКА!$AC$2-1,0,1,4)</definedName>
    <definedName name="graph_05_2">OFFSET([1]ВОРОНКА!$AA$357,[1]ВОРОНКА!$AK$2-1+3,0,1,4)</definedName>
    <definedName name="graph_06_1">OFFSET([1]ВОРОНКА!$AA$444,[1]ВОРОНКА!$AC$2-1,0,1,4)</definedName>
    <definedName name="graph_06_2">OFFSET([1]ВОРОНКА!$AA$444,[1]ВОРОНКА!$AK$2-1+3,0,1,4)</definedName>
    <definedName name="graph_07_1">OFFSET([1]ВОРОНКА!$AA$531,[1]ВОРОНКА!$AC$2-1,0,1,4)</definedName>
    <definedName name="graph_07_2">OFFSET([1]ВОРОНКА!$AA$531,[1]ВОРОНКА!$AK$2-1+3,0,1,4)</definedName>
    <definedName name="graph_08_1">OFFSET([1]ВОРОНКА!$AA$618,[1]ВОРОНКА!$AC$2-1,0,1,4)</definedName>
    <definedName name="graph_08_2">OFFSET([1]ВОРОНКА!$AA$618,[1]ВОРОНКА!$AK$2-1+3,0,1,4)</definedName>
    <definedName name="graph_09_1">OFFSET([1]ВОРОНКА!$AA$705,[1]ВОРОНКА!$AC$2-1,0,1,4)</definedName>
    <definedName name="graph_09_2">OFFSET([1]ВОРОНКА!$AA$705,[1]ВОРОНКА!$AK$2-1+3,0,1,4)</definedName>
    <definedName name="graph_10_1">OFFSET([1]ВОРОНКА!$AA$792,[1]ВОРОНКА!$AC$2-1,0,1,4)</definedName>
    <definedName name="graph_10_2">OFFSET([1]ВОРОНКА!$AA$792,[1]ВОРОНКА!$AK$2-1+3,0,1,4)</definedName>
    <definedName name="graph_11_1">OFFSET([1]ВОРОНКА!$AA$879,[1]ВОРОНКА!$AC$2-1,0,1,4)</definedName>
    <definedName name="graph_11_2">OFFSET([1]ВОРОНКА!$AA$879,[1]ВОРОНКА!$AK$2-1+3,0,1,4)</definedName>
    <definedName name="graph_12_1">OFFSET([1]ВОРОНКА!$AA$966,[1]ВОРОНКА!$AC$2-1,0,1,4)</definedName>
    <definedName name="graph_12_2">OFFSET([1]ВОРОНКА!$AA$966,[1]ВОРОНКА!$AK$2-1+3,0,1,4)</definedName>
    <definedName name="kod_uslugi">OFFSET('[1]СТАТИСТИКА БАЗЫ'!$D$40,1,0,COUNTIF('[1]СТАТИСТИКА БАЗЫ'!$D:$D,"&gt;0"),1)</definedName>
    <definedName name="list_counts">OFFSET('[1]БАЗА КЛИЕНТОВ'!$C$2,0,0,COUNTIF('[1]БАЗА КЛИЕНТОВ'!$C:$C,"&gt;0"),1)</definedName>
    <definedName name="list_dates">OFFSET('[1]БАЗА КЛИЕНТОВ'!$E$2,0,0,COUNTIF('[1]БАЗА КЛИЕНТОВ'!$C:$C,"&gt;0"),1)</definedName>
    <definedName name="list_managers">OFFSET('[1]БАЗА КЛИЕНТОВ'!$K$2,0,0,COUNTIF('[1]БАЗА КЛИЕНТОВ'!$C:$C,"&gt;0"),1)</definedName>
    <definedName name="list_results">OFFSET('[1]БАЗА КЛИЕНТОВ'!$O$2,0,0,COUNTIF('[1]БАЗА КЛИЕНТОВ'!$C:$C,"&gt;0"),1)</definedName>
    <definedName name="managers">OFFSET([1]СПРАВОЧНИК!$Q$2,0,0,COUNTA([1]СПРАВОЧНИК!$Q:$Q)-1,1)</definedName>
    <definedName name="months_">OFFSET([1]СПРАВОЧНИК!$L$1,0,0,COUNTA([1]СПРАВОЧНИК!$L:$L),1)</definedName>
    <definedName name="months_forecast">OFFSET([1]СПРАВОЧНИК!$L$1,0,0,COUNTIF([1]СПРАВОЧНИК!$N:$N,"&gt;0"),1)</definedName>
    <definedName name="rate_1st">OFFSET([1]СПРАВОЧНИК!$C$1,0,0,COUNTA([1]СПРАВОЧНИК!$C:$C),1)</definedName>
    <definedName name="rate_2nd">OFFSET([1]СПРАВОЧНИК!$F$1,0,0,COUNTA([1]СПРАВОЧНИК!$F:$F),1)</definedName>
    <definedName name="results">OFFSET([1]СПРАВОЧНИК!$S$2,0,0,COUNTA([1]СПРАВОЧНИК!$S:$S)-1,1)</definedName>
    <definedName name="sum_or_forecast">OFFSET([1]СПРАВОЧНИК!$X$1,0,0,COUNTA([1]СПРАВОЧНИК!$X:$X),1)</definedName>
    <definedName name="weeks">OFFSET([1]СПРАВОЧНИК!$I$1,0,0,COUNTA([1]СПРАВОЧНИК!$I:$I),1)</definedName>
    <definedName name="Ydopzatr">OFFSET(IF([1]ДИНАМИКА!$A$16=TRUE,[1]ДИНАМИКА!$C$16,[1]ДИНАМИКА!$C$11),0,0,1,12)</definedName>
    <definedName name="Yreklama">OFFSET(IF([1]ДИНАМИКА!$A$15=TRUE,[1]ДИНАМИКА!$C$15,[1]ДИНАМИКА!$C$11),0,0,1,12)</definedName>
  </definedNames>
  <calcPr calcId="145621"/>
</workbook>
</file>

<file path=xl/calcChain.xml><?xml version="1.0" encoding="utf-8"?>
<calcChain xmlns="http://schemas.openxmlformats.org/spreadsheetml/2006/main">
  <c r="P9" i="1" l="1"/>
  <c r="D6" i="1"/>
  <c r="E22" i="1" l="1"/>
  <c r="D22" i="1"/>
  <c r="D21" i="1"/>
  <c r="D20" i="1"/>
  <c r="Q9" i="1" l="1"/>
  <c r="M8" i="10" l="1"/>
  <c r="K801" i="7" l="1"/>
  <c r="A801" i="7"/>
  <c r="K784" i="7"/>
  <c r="A784" i="7"/>
  <c r="K767" i="7"/>
  <c r="A767" i="7"/>
  <c r="K750" i="7"/>
  <c r="A750" i="7"/>
  <c r="K733" i="7"/>
  <c r="A733" i="7"/>
  <c r="K716" i="7"/>
  <c r="A716" i="7"/>
  <c r="K699" i="7"/>
  <c r="A699" i="7"/>
  <c r="K682" i="7"/>
  <c r="A682" i="7"/>
  <c r="K665" i="7"/>
  <c r="A665" i="7"/>
  <c r="K648" i="7"/>
  <c r="A648" i="7"/>
  <c r="K631" i="7"/>
  <c r="A631" i="7"/>
  <c r="K614" i="7"/>
  <c r="A614" i="7"/>
  <c r="K597" i="7"/>
  <c r="A597" i="7"/>
  <c r="K580" i="7"/>
  <c r="A580" i="7"/>
  <c r="K563" i="7"/>
  <c r="A563" i="7"/>
  <c r="K546" i="7"/>
  <c r="A546" i="7"/>
  <c r="K529" i="7"/>
  <c r="A529" i="7"/>
  <c r="K512" i="7"/>
  <c r="A512" i="7"/>
  <c r="K495" i="7"/>
  <c r="A495" i="7"/>
  <c r="K478" i="7"/>
  <c r="A478" i="7"/>
  <c r="K461" i="7"/>
  <c r="A461" i="7"/>
  <c r="K444" i="7"/>
  <c r="A444" i="7"/>
  <c r="K427" i="7"/>
  <c r="A427" i="7"/>
  <c r="K410" i="7"/>
  <c r="A410" i="7"/>
  <c r="K393" i="7"/>
  <c r="A393" i="7"/>
  <c r="K376" i="7"/>
  <c r="A376" i="7"/>
  <c r="K359" i="7"/>
  <c r="A359" i="7"/>
  <c r="K342" i="7"/>
  <c r="A342" i="7"/>
  <c r="K325" i="7"/>
  <c r="A325" i="7"/>
  <c r="K308" i="7"/>
  <c r="A308" i="7"/>
  <c r="K291" i="7"/>
  <c r="A291" i="7"/>
  <c r="K274" i="7"/>
  <c r="A274" i="7"/>
  <c r="K257" i="7"/>
  <c r="A257" i="7"/>
  <c r="K240" i="7"/>
  <c r="A240" i="7"/>
  <c r="K223" i="7"/>
  <c r="A223" i="7"/>
  <c r="K206" i="7"/>
  <c r="A206" i="7"/>
  <c r="K189" i="7"/>
  <c r="A189" i="7"/>
  <c r="K172" i="7"/>
  <c r="A172" i="7"/>
  <c r="K155" i="7"/>
  <c r="A155" i="7"/>
  <c r="K138" i="7"/>
  <c r="A138" i="7"/>
  <c r="K121" i="7"/>
  <c r="A121" i="7"/>
  <c r="K104" i="7"/>
  <c r="A104" i="7"/>
  <c r="K87" i="7"/>
  <c r="A87" i="7"/>
  <c r="K70" i="7"/>
  <c r="A70" i="7"/>
  <c r="K53" i="7"/>
  <c r="A53" i="7"/>
  <c r="A36" i="7"/>
  <c r="A19" i="7"/>
  <c r="K2" i="7"/>
  <c r="J2" i="7"/>
  <c r="I2" i="7"/>
  <c r="H2" i="7"/>
  <c r="G2" i="7"/>
  <c r="F2" i="7"/>
  <c r="E2" i="7"/>
  <c r="D2" i="7"/>
  <c r="C2" i="7"/>
  <c r="B2" i="7"/>
  <c r="A2" i="7"/>
  <c r="K807" i="7" l="1"/>
  <c r="K806" i="7"/>
  <c r="K805" i="7"/>
  <c r="K815" i="7" s="1"/>
  <c r="K804" i="7"/>
  <c r="K811" i="7" s="1"/>
  <c r="K803" i="7"/>
  <c r="K813" i="7" s="1"/>
  <c r="K802" i="7"/>
  <c r="K812" i="7" s="1"/>
  <c r="K790" i="7"/>
  <c r="K799" i="7" s="1"/>
  <c r="K789" i="7"/>
  <c r="K788" i="7"/>
  <c r="K798" i="7" s="1"/>
  <c r="K787" i="7"/>
  <c r="K794" i="7" s="1"/>
  <c r="K786" i="7"/>
  <c r="K793" i="7" s="1"/>
  <c r="K785" i="7"/>
  <c r="K792" i="7" s="1"/>
  <c r="K773" i="7"/>
  <c r="K772" i="7"/>
  <c r="K771" i="7"/>
  <c r="K781" i="7" s="1"/>
  <c r="K770" i="7"/>
  <c r="K777" i="7" s="1"/>
  <c r="K769" i="7"/>
  <c r="K779" i="7" s="1"/>
  <c r="K768" i="7"/>
  <c r="K775" i="7" s="1"/>
  <c r="K756" i="7"/>
  <c r="K765" i="7" s="1"/>
  <c r="K755" i="7"/>
  <c r="K754" i="7"/>
  <c r="K764" i="7" s="1"/>
  <c r="K753" i="7"/>
  <c r="K760" i="7" s="1"/>
  <c r="K752" i="7"/>
  <c r="K759" i="7" s="1"/>
  <c r="K751" i="7"/>
  <c r="K758" i="7" s="1"/>
  <c r="K739" i="7"/>
  <c r="K738" i="7"/>
  <c r="K737" i="7"/>
  <c r="K747" i="7" s="1"/>
  <c r="K736" i="7"/>
  <c r="K743" i="7" s="1"/>
  <c r="K735" i="7"/>
  <c r="K734" i="7"/>
  <c r="K744" i="7" s="1"/>
  <c r="K722" i="7"/>
  <c r="K731" i="7" s="1"/>
  <c r="K721" i="7"/>
  <c r="K720" i="7"/>
  <c r="K730" i="7" s="1"/>
  <c r="K719" i="7"/>
  <c r="K729" i="7" s="1"/>
  <c r="K718" i="7"/>
  <c r="K728" i="7" s="1"/>
  <c r="K717" i="7"/>
  <c r="K724" i="7" s="1"/>
  <c r="K705" i="7"/>
  <c r="K704" i="7"/>
  <c r="K703" i="7"/>
  <c r="K713" i="7" s="1"/>
  <c r="K702" i="7"/>
  <c r="K709" i="7" s="1"/>
  <c r="K701" i="7"/>
  <c r="K700" i="7"/>
  <c r="K707" i="7" s="1"/>
  <c r="K688" i="7"/>
  <c r="K697" i="7" s="1"/>
  <c r="K687" i="7"/>
  <c r="K686" i="7"/>
  <c r="K696" i="7" s="1"/>
  <c r="K685" i="7"/>
  <c r="K692" i="7" s="1"/>
  <c r="K684" i="7"/>
  <c r="K694" i="7" s="1"/>
  <c r="K683" i="7"/>
  <c r="K690" i="7" s="1"/>
  <c r="K671" i="7"/>
  <c r="K670" i="7"/>
  <c r="K669" i="7"/>
  <c r="K679" i="7" s="1"/>
  <c r="K668" i="7"/>
  <c r="K675" i="7" s="1"/>
  <c r="K667" i="7"/>
  <c r="K666" i="7"/>
  <c r="K673" i="7" s="1"/>
  <c r="K654" i="7"/>
  <c r="K663" i="7" s="1"/>
  <c r="K653" i="7"/>
  <c r="K652" i="7"/>
  <c r="K662" i="7" s="1"/>
  <c r="K651" i="7"/>
  <c r="K658" i="7" s="1"/>
  <c r="K650" i="7"/>
  <c r="K660" i="7" s="1"/>
  <c r="K649" i="7"/>
  <c r="K656" i="7" s="1"/>
  <c r="K637" i="7"/>
  <c r="K636" i="7"/>
  <c r="K635" i="7"/>
  <c r="K645" i="7" s="1"/>
  <c r="K634" i="7"/>
  <c r="K641" i="7" s="1"/>
  <c r="K633" i="7"/>
  <c r="K632" i="7"/>
  <c r="K642" i="7" s="1"/>
  <c r="K620" i="7"/>
  <c r="K629" i="7" s="1"/>
  <c r="K619" i="7"/>
  <c r="K618" i="7"/>
  <c r="K628" i="7" s="1"/>
  <c r="K617" i="7"/>
  <c r="K627" i="7" s="1"/>
  <c r="K616" i="7"/>
  <c r="K626" i="7" s="1"/>
  <c r="K615" i="7"/>
  <c r="K622" i="7" s="1"/>
  <c r="K603" i="7"/>
  <c r="K602" i="7"/>
  <c r="K601" i="7"/>
  <c r="K611" i="7" s="1"/>
  <c r="K600" i="7"/>
  <c r="K607" i="7" s="1"/>
  <c r="K599" i="7"/>
  <c r="K609" i="7" s="1"/>
  <c r="K598" i="7"/>
  <c r="K608" i="7" s="1"/>
  <c r="K586" i="7"/>
  <c r="K595" i="7" s="1"/>
  <c r="K585" i="7"/>
  <c r="K584" i="7"/>
  <c r="K594" i="7" s="1"/>
  <c r="K583" i="7"/>
  <c r="K590" i="7" s="1"/>
  <c r="K582" i="7"/>
  <c r="K592" i="7" s="1"/>
  <c r="K581" i="7"/>
  <c r="K588" i="7" s="1"/>
  <c r="K569" i="7"/>
  <c r="K578" i="7" s="1"/>
  <c r="K568" i="7"/>
  <c r="K567" i="7"/>
  <c r="K577" i="7" s="1"/>
  <c r="K566" i="7"/>
  <c r="K573" i="7" s="1"/>
  <c r="K565" i="7"/>
  <c r="K575" i="7" s="1"/>
  <c r="K564" i="7"/>
  <c r="K571" i="7" s="1"/>
  <c r="K552" i="7"/>
  <c r="K561" i="7" s="1"/>
  <c r="K551" i="7"/>
  <c r="K550" i="7"/>
  <c r="K560" i="7" s="1"/>
  <c r="K549" i="7"/>
  <c r="K559" i="7" s="1"/>
  <c r="K548" i="7"/>
  <c r="K558" i="7" s="1"/>
  <c r="K547" i="7"/>
  <c r="K554" i="7" s="1"/>
  <c r="K535" i="7"/>
  <c r="K544" i="7" s="1"/>
  <c r="K534" i="7"/>
  <c r="K533" i="7"/>
  <c r="K543" i="7" s="1"/>
  <c r="K532" i="7"/>
  <c r="K531" i="7"/>
  <c r="K538" i="7" s="1"/>
  <c r="K530" i="7"/>
  <c r="K540" i="7" s="1"/>
  <c r="K518" i="7"/>
  <c r="K527" i="7" s="1"/>
  <c r="K517" i="7"/>
  <c r="K516" i="7"/>
  <c r="K526" i="7" s="1"/>
  <c r="K515" i="7"/>
  <c r="K522" i="7" s="1"/>
  <c r="K514" i="7"/>
  <c r="K524" i="7" s="1"/>
  <c r="K513" i="7"/>
  <c r="K520" i="7" s="1"/>
  <c r="K501" i="7"/>
  <c r="K510" i="7" s="1"/>
  <c r="K500" i="7"/>
  <c r="K499" i="7"/>
  <c r="K509" i="7" s="1"/>
  <c r="K498" i="7"/>
  <c r="K508" i="7" s="1"/>
  <c r="K497" i="7"/>
  <c r="K504" i="7" s="1"/>
  <c r="K496" i="7"/>
  <c r="K506" i="7" s="1"/>
  <c r="K484" i="7"/>
  <c r="K493" i="7" s="1"/>
  <c r="K483" i="7"/>
  <c r="K482" i="7"/>
  <c r="K492" i="7" s="1"/>
  <c r="K481" i="7"/>
  <c r="K491" i="7" s="1"/>
  <c r="K480" i="7"/>
  <c r="K487" i="7" s="1"/>
  <c r="K479" i="7"/>
  <c r="K489" i="7" s="1"/>
  <c r="K467" i="7"/>
  <c r="K476" i="7" s="1"/>
  <c r="K466" i="7"/>
  <c r="K465" i="7"/>
  <c r="K475" i="7" s="1"/>
  <c r="K464" i="7"/>
  <c r="K474" i="7" s="1"/>
  <c r="K463" i="7"/>
  <c r="K473" i="7" s="1"/>
  <c r="K462" i="7"/>
  <c r="K472" i="7" s="1"/>
  <c r="K450" i="7"/>
  <c r="K459" i="7" s="1"/>
  <c r="K449" i="7"/>
  <c r="K448" i="7"/>
  <c r="K458" i="7" s="1"/>
  <c r="K447" i="7"/>
  <c r="K457" i="7" s="1"/>
  <c r="K446" i="7"/>
  <c r="K453" i="7" s="1"/>
  <c r="K445" i="7"/>
  <c r="K455" i="7" s="1"/>
  <c r="K433" i="7"/>
  <c r="K442" i="7" s="1"/>
  <c r="K432" i="7"/>
  <c r="K431" i="7"/>
  <c r="K441" i="7" s="1"/>
  <c r="K430" i="7"/>
  <c r="K440" i="7" s="1"/>
  <c r="K429" i="7"/>
  <c r="K436" i="7" s="1"/>
  <c r="K428" i="7"/>
  <c r="K438" i="7" s="1"/>
  <c r="K416" i="7"/>
  <c r="K425" i="7" s="1"/>
  <c r="K415" i="7"/>
  <c r="K414" i="7"/>
  <c r="K424" i="7" s="1"/>
  <c r="K413" i="7"/>
  <c r="K423" i="7" s="1"/>
  <c r="K412" i="7"/>
  <c r="K419" i="7" s="1"/>
  <c r="K411" i="7"/>
  <c r="K421" i="7" s="1"/>
  <c r="K399" i="7"/>
  <c r="K408" i="7" s="1"/>
  <c r="K398" i="7"/>
  <c r="K397" i="7"/>
  <c r="K407" i="7" s="1"/>
  <c r="K396" i="7"/>
  <c r="K406" i="7" s="1"/>
  <c r="K395" i="7"/>
  <c r="K402" i="7" s="1"/>
  <c r="K394" i="7"/>
  <c r="K404" i="7" s="1"/>
  <c r="K382" i="7"/>
  <c r="K391" i="7" s="1"/>
  <c r="K381" i="7"/>
  <c r="K380" i="7"/>
  <c r="K390" i="7" s="1"/>
  <c r="K379" i="7"/>
  <c r="K389" i="7" s="1"/>
  <c r="K378" i="7"/>
  <c r="K385" i="7" s="1"/>
  <c r="K377" i="7"/>
  <c r="K387" i="7" s="1"/>
  <c r="K365" i="7"/>
  <c r="K374" i="7" s="1"/>
  <c r="K364" i="7"/>
  <c r="K363" i="7"/>
  <c r="K373" i="7" s="1"/>
  <c r="K362" i="7"/>
  <c r="K372" i="7" s="1"/>
  <c r="K361" i="7"/>
  <c r="K368" i="7" s="1"/>
  <c r="K360" i="7"/>
  <c r="K370" i="7" s="1"/>
  <c r="K348" i="7"/>
  <c r="K357" i="7" s="1"/>
  <c r="K347" i="7"/>
  <c r="K346" i="7"/>
  <c r="K356" i="7" s="1"/>
  <c r="K345" i="7"/>
  <c r="K355" i="7" s="1"/>
  <c r="K344" i="7"/>
  <c r="K351" i="7" s="1"/>
  <c r="K343" i="7"/>
  <c r="K353" i="7" s="1"/>
  <c r="K331" i="7"/>
  <c r="K340" i="7" s="1"/>
  <c r="K330" i="7"/>
  <c r="K329" i="7"/>
  <c r="K339" i="7" s="1"/>
  <c r="K328" i="7"/>
  <c r="K338" i="7" s="1"/>
  <c r="K327" i="7"/>
  <c r="K334" i="7" s="1"/>
  <c r="K326" i="7"/>
  <c r="K336" i="7" s="1"/>
  <c r="K314" i="7"/>
  <c r="K323" i="7" s="1"/>
  <c r="K313" i="7"/>
  <c r="K312" i="7"/>
  <c r="K322" i="7" s="1"/>
  <c r="K311" i="7"/>
  <c r="K321" i="7" s="1"/>
  <c r="K310" i="7"/>
  <c r="K317" i="7" s="1"/>
  <c r="K309" i="7"/>
  <c r="K319" i="7" s="1"/>
  <c r="K297" i="7"/>
  <c r="K306" i="7" s="1"/>
  <c r="K296" i="7"/>
  <c r="K295" i="7"/>
  <c r="K305" i="7" s="1"/>
  <c r="K294" i="7"/>
  <c r="K304" i="7" s="1"/>
  <c r="K293" i="7"/>
  <c r="K300" i="7" s="1"/>
  <c r="K292" i="7"/>
  <c r="K302" i="7" s="1"/>
  <c r="K280" i="7"/>
  <c r="K289" i="7" s="1"/>
  <c r="K279" i="7"/>
  <c r="K278" i="7"/>
  <c r="K288" i="7" s="1"/>
  <c r="K277" i="7"/>
  <c r="K287" i="7" s="1"/>
  <c r="K276" i="7"/>
  <c r="K283" i="7" s="1"/>
  <c r="K275" i="7"/>
  <c r="K285" i="7" s="1"/>
  <c r="K263" i="7"/>
  <c r="K272" i="7" s="1"/>
  <c r="K262" i="7"/>
  <c r="K261" i="7"/>
  <c r="K271" i="7" s="1"/>
  <c r="K260" i="7"/>
  <c r="K259" i="7"/>
  <c r="K266" i="7" s="1"/>
  <c r="K258" i="7"/>
  <c r="K268" i="7" s="1"/>
  <c r="K246" i="7"/>
  <c r="K245" i="7"/>
  <c r="K244" i="7"/>
  <c r="K243" i="7"/>
  <c r="K250" i="7" s="1"/>
  <c r="K242" i="7"/>
  <c r="K241" i="7"/>
  <c r="K248" i="7" s="1"/>
  <c r="K229" i="7"/>
  <c r="K228" i="7"/>
  <c r="K227" i="7"/>
  <c r="K226" i="7"/>
  <c r="K233" i="7" s="1"/>
  <c r="K225" i="7"/>
  <c r="K224" i="7"/>
  <c r="K212" i="7"/>
  <c r="K211" i="7"/>
  <c r="K210" i="7"/>
  <c r="K209" i="7"/>
  <c r="K208" i="7"/>
  <c r="K207" i="7"/>
  <c r="K195" i="7"/>
  <c r="K194" i="7"/>
  <c r="K193" i="7"/>
  <c r="K192" i="7"/>
  <c r="K191" i="7"/>
  <c r="K190" i="7"/>
  <c r="K178" i="7"/>
  <c r="K177" i="7"/>
  <c r="K176" i="7"/>
  <c r="K175" i="7"/>
  <c r="K174" i="7"/>
  <c r="K173" i="7"/>
  <c r="K161" i="7"/>
  <c r="K160" i="7"/>
  <c r="K159" i="7"/>
  <c r="K158" i="7"/>
  <c r="K157" i="7"/>
  <c r="K156" i="7"/>
  <c r="K144" i="7"/>
  <c r="K143" i="7"/>
  <c r="K142" i="7"/>
  <c r="K141" i="7"/>
  <c r="K140" i="7"/>
  <c r="K147" i="7" s="1"/>
  <c r="K139" i="7"/>
  <c r="K127" i="7"/>
  <c r="K126" i="7"/>
  <c r="K125" i="7"/>
  <c r="K124" i="7"/>
  <c r="K123" i="7"/>
  <c r="K122" i="7"/>
  <c r="K110" i="7"/>
  <c r="K109" i="7"/>
  <c r="K108" i="7"/>
  <c r="K107" i="7"/>
  <c r="K106" i="7"/>
  <c r="K105" i="7"/>
  <c r="K93" i="7"/>
  <c r="K102" i="7" s="1"/>
  <c r="K92" i="7"/>
  <c r="K91" i="7"/>
  <c r="K90" i="7"/>
  <c r="K97" i="7" s="1"/>
  <c r="K89" i="7"/>
  <c r="K88" i="7"/>
  <c r="K76" i="7"/>
  <c r="K75" i="7"/>
  <c r="K74" i="7"/>
  <c r="K73" i="7"/>
  <c r="K80" i="7" s="1"/>
  <c r="K72" i="7"/>
  <c r="K71" i="7"/>
  <c r="K78" i="7" s="1"/>
  <c r="K59" i="7"/>
  <c r="K58" i="7"/>
  <c r="K57" i="7"/>
  <c r="K56" i="7"/>
  <c r="K63" i="7" s="1"/>
  <c r="K55" i="7"/>
  <c r="K54" i="7"/>
  <c r="K61" i="7" s="1"/>
  <c r="K42" i="7"/>
  <c r="K41" i="7"/>
  <c r="K40" i="7"/>
  <c r="K50" i="7" s="1"/>
  <c r="K39" i="7"/>
  <c r="K38" i="7"/>
  <c r="K45" i="7" s="1"/>
  <c r="K37" i="7"/>
  <c r="K25" i="7"/>
  <c r="K24" i="7"/>
  <c r="K23" i="7"/>
  <c r="K22" i="7"/>
  <c r="K21" i="7"/>
  <c r="K28" i="7" s="1"/>
  <c r="K20" i="7"/>
  <c r="K8" i="7"/>
  <c r="K7" i="7"/>
  <c r="K6" i="7"/>
  <c r="K16" i="7" s="1"/>
  <c r="K5" i="7"/>
  <c r="K4" i="7"/>
  <c r="K14" i="7" s="1"/>
  <c r="K3" i="7"/>
  <c r="K13" i="7" s="1"/>
  <c r="J257" i="7"/>
  <c r="I87" i="7"/>
  <c r="H172" i="7"/>
  <c r="G206" i="7"/>
  <c r="F155" i="7"/>
  <c r="E155" i="7"/>
  <c r="D257" i="7"/>
  <c r="B104" i="7"/>
  <c r="K52" i="7" l="1"/>
  <c r="K86" i="7"/>
  <c r="K154" i="7"/>
  <c r="K188" i="7"/>
  <c r="K222" i="7"/>
  <c r="K630" i="7"/>
  <c r="K698" i="7"/>
  <c r="K613" i="7"/>
  <c r="K375" i="7"/>
  <c r="K392" i="7"/>
  <c r="K460" i="7"/>
  <c r="K409" i="7"/>
  <c r="K273" i="7"/>
  <c r="K324" i="7"/>
  <c r="K426" i="7"/>
  <c r="K477" i="7"/>
  <c r="K269" i="7"/>
  <c r="K350" i="7"/>
  <c r="K384" i="7"/>
  <c r="K574" i="7"/>
  <c r="K610" i="7"/>
  <c r="K695" i="7"/>
  <c r="K766" i="7"/>
  <c r="K763" i="7"/>
  <c r="K371" i="7"/>
  <c r="K591" i="7"/>
  <c r="K676" i="7"/>
  <c r="K710" i="7"/>
  <c r="K778" i="7"/>
  <c r="K18" i="7"/>
  <c r="K30" i="7"/>
  <c r="K12" i="7"/>
  <c r="K181" i="7"/>
  <c r="K120" i="7"/>
  <c r="K103" i="7"/>
  <c r="K10" i="7"/>
  <c r="K48" i="7"/>
  <c r="K82" i="7"/>
  <c r="K47" i="7"/>
  <c r="K98" i="7"/>
  <c r="K151" i="7"/>
  <c r="K337" i="7"/>
  <c r="K420" i="7"/>
  <c r="K470" i="7"/>
  <c r="K486" i="7"/>
  <c r="K507" i="7"/>
  <c r="K639" i="7"/>
  <c r="K715" i="7"/>
  <c r="K167" i="7"/>
  <c r="K27" i="7"/>
  <c r="K62" i="7"/>
  <c r="K96" i="7"/>
  <c r="K130" i="7"/>
  <c r="K136" i="7"/>
  <c r="K148" i="7"/>
  <c r="K163" i="7"/>
  <c r="K171" i="7"/>
  <c r="K215" i="7"/>
  <c r="K237" i="7"/>
  <c r="K290" i="7"/>
  <c r="K341" i="7"/>
  <c r="K405" i="7"/>
  <c r="K511" i="7"/>
  <c r="K528" i="7"/>
  <c r="K579" i="7"/>
  <c r="K605" i="7"/>
  <c r="K624" i="7"/>
  <c r="K664" i="7"/>
  <c r="K762" i="7"/>
  <c r="K797" i="7"/>
  <c r="K369" i="7"/>
  <c r="K166" i="7"/>
  <c r="K186" i="7"/>
  <c r="K231" i="7"/>
  <c r="K238" i="7"/>
  <c r="K284" i="7"/>
  <c r="K505" i="7"/>
  <c r="K521" i="7"/>
  <c r="K647" i="7"/>
  <c r="K661" i="7"/>
  <c r="K69" i="7"/>
  <c r="K335" i="7"/>
  <c r="K34" i="7"/>
  <c r="K51" i="7"/>
  <c r="K49" i="7"/>
  <c r="K113" i="7"/>
  <c r="K118" i="7"/>
  <c r="K170" i="7"/>
  <c r="K203" i="7"/>
  <c r="K301" i="7"/>
  <c r="K316" i="7"/>
  <c r="K352" i="7"/>
  <c r="K437" i="7"/>
  <c r="K452" i="7"/>
  <c r="K488" i="7"/>
  <c r="K525" i="7"/>
  <c r="K537" i="7"/>
  <c r="K556" i="7"/>
  <c r="K593" i="7"/>
  <c r="K606" i="7"/>
  <c r="K657" i="7"/>
  <c r="K681" i="7"/>
  <c r="K714" i="7"/>
  <c r="K726" i="7"/>
  <c r="K741" i="7"/>
  <c r="K817" i="7"/>
  <c r="K119" i="7"/>
  <c r="K169" i="7"/>
  <c r="K386" i="7"/>
  <c r="K15" i="7"/>
  <c r="K32" i="7"/>
  <c r="K29" i="7"/>
  <c r="K46" i="7"/>
  <c r="K44" i="7"/>
  <c r="K67" i="7"/>
  <c r="K64" i="7"/>
  <c r="K84" i="7"/>
  <c r="K135" i="7"/>
  <c r="K187" i="7"/>
  <c r="K198" i="7"/>
  <c r="K204" i="7"/>
  <c r="K216" i="7"/>
  <c r="K239" i="7"/>
  <c r="K282" i="7"/>
  <c r="K307" i="7"/>
  <c r="K303" i="7"/>
  <c r="K318" i="7"/>
  <c r="K358" i="7"/>
  <c r="K403" i="7"/>
  <c r="K418" i="7"/>
  <c r="K443" i="7"/>
  <c r="K439" i="7"/>
  <c r="K454" i="7"/>
  <c r="K494" i="7"/>
  <c r="K623" i="7"/>
  <c r="K644" i="7"/>
  <c r="K691" i="7"/>
  <c r="K732" i="7"/>
  <c r="K783" i="7"/>
  <c r="K800" i="7"/>
  <c r="K796" i="7"/>
  <c r="K809" i="7"/>
  <c r="K11" i="7"/>
  <c r="K33" i="7"/>
  <c r="K85" i="7"/>
  <c r="K182" i="7"/>
  <c r="K471" i="7"/>
  <c r="K625" i="7"/>
  <c r="K725" i="7"/>
  <c r="K749" i="7"/>
  <c r="E19" i="7"/>
  <c r="I19" i="7"/>
  <c r="E53" i="7"/>
  <c r="I53" i="7"/>
  <c r="H87" i="7"/>
  <c r="D138" i="7"/>
  <c r="I189" i="7"/>
  <c r="D19" i="7"/>
  <c r="H19" i="7"/>
  <c r="D53" i="7"/>
  <c r="H53" i="7"/>
  <c r="D70" i="7"/>
  <c r="D104" i="7"/>
  <c r="I121" i="7"/>
  <c r="C784" i="7"/>
  <c r="C801" i="7"/>
  <c r="C767" i="7"/>
  <c r="C733" i="7"/>
  <c r="C699" i="7"/>
  <c r="C665" i="7"/>
  <c r="C631" i="7"/>
  <c r="C563" i="7"/>
  <c r="C750" i="7"/>
  <c r="C682" i="7"/>
  <c r="C614" i="7"/>
  <c r="C546" i="7"/>
  <c r="C597" i="7"/>
  <c r="C529" i="7"/>
  <c r="C716" i="7"/>
  <c r="C648" i="7"/>
  <c r="C580" i="7"/>
  <c r="C512" i="7"/>
  <c r="C478" i="7"/>
  <c r="C444" i="7"/>
  <c r="C410" i="7"/>
  <c r="C376" i="7"/>
  <c r="C342" i="7"/>
  <c r="C308" i="7"/>
  <c r="C274" i="7"/>
  <c r="C240" i="7"/>
  <c r="C495" i="7"/>
  <c r="C461" i="7"/>
  <c r="C427" i="7"/>
  <c r="C393" i="7"/>
  <c r="C359" i="7"/>
  <c r="C325" i="7"/>
  <c r="C291" i="7"/>
  <c r="C257" i="7"/>
  <c r="C223" i="7"/>
  <c r="C189" i="7"/>
  <c r="C155" i="7"/>
  <c r="C121" i="7"/>
  <c r="C87" i="7"/>
  <c r="K83" i="7"/>
  <c r="H784" i="7"/>
  <c r="H750" i="7"/>
  <c r="H716" i="7"/>
  <c r="H682" i="7"/>
  <c r="H648" i="7"/>
  <c r="H614" i="7"/>
  <c r="H580" i="7"/>
  <c r="H801" i="7"/>
  <c r="H767" i="7"/>
  <c r="H733" i="7"/>
  <c r="H699" i="7"/>
  <c r="H665" i="7"/>
  <c r="H631" i="7"/>
  <c r="H597" i="7"/>
  <c r="H563" i="7"/>
  <c r="H529" i="7"/>
  <c r="H546" i="7"/>
  <c r="H512" i="7"/>
  <c r="H495" i="7"/>
  <c r="H461" i="7"/>
  <c r="H427" i="7"/>
  <c r="H393" i="7"/>
  <c r="H359" i="7"/>
  <c r="H325" i="7"/>
  <c r="H291" i="7"/>
  <c r="H257" i="7"/>
  <c r="H223" i="7"/>
  <c r="H189" i="7"/>
  <c r="H155" i="7"/>
  <c r="H121" i="7"/>
  <c r="H478" i="7"/>
  <c r="H444" i="7"/>
  <c r="H410" i="7"/>
  <c r="H376" i="7"/>
  <c r="H342" i="7"/>
  <c r="H308" i="7"/>
  <c r="H274" i="7"/>
  <c r="B19" i="7"/>
  <c r="F19" i="7"/>
  <c r="J19" i="7"/>
  <c r="K31" i="7"/>
  <c r="K35" i="7"/>
  <c r="D36" i="7"/>
  <c r="H36" i="7"/>
  <c r="B53" i="7"/>
  <c r="F53" i="7"/>
  <c r="J53" i="7"/>
  <c r="K66" i="7"/>
  <c r="K65" i="7"/>
  <c r="F70" i="7"/>
  <c r="K79" i="7"/>
  <c r="D87" i="7"/>
  <c r="K99" i="7"/>
  <c r="F104" i="7"/>
  <c r="K114" i="7"/>
  <c r="B121" i="7"/>
  <c r="J121" i="7"/>
  <c r="K131" i="7"/>
  <c r="K134" i="7"/>
  <c r="K129" i="7"/>
  <c r="K137" i="7"/>
  <c r="G138" i="7"/>
  <c r="K153" i="7"/>
  <c r="K152" i="7"/>
  <c r="C172" i="7"/>
  <c r="B189" i="7"/>
  <c r="J189" i="7"/>
  <c r="K199" i="7"/>
  <c r="K202" i="7"/>
  <c r="K197" i="7"/>
  <c r="K205" i="7"/>
  <c r="K221" i="7"/>
  <c r="K220" i="7"/>
  <c r="J223" i="7"/>
  <c r="H240" i="7"/>
  <c r="G784" i="7"/>
  <c r="G750" i="7"/>
  <c r="G801" i="7"/>
  <c r="G767" i="7"/>
  <c r="G733" i="7"/>
  <c r="G699" i="7"/>
  <c r="G665" i="7"/>
  <c r="G631" i="7"/>
  <c r="G682" i="7"/>
  <c r="G597" i="7"/>
  <c r="G580" i="7"/>
  <c r="G563" i="7"/>
  <c r="G716" i="7"/>
  <c r="G648" i="7"/>
  <c r="G546" i="7"/>
  <c r="G614" i="7"/>
  <c r="G529" i="7"/>
  <c r="G478" i="7"/>
  <c r="G444" i="7"/>
  <c r="G410" i="7"/>
  <c r="G376" i="7"/>
  <c r="G342" i="7"/>
  <c r="G308" i="7"/>
  <c r="G274" i="7"/>
  <c r="G240" i="7"/>
  <c r="G512" i="7"/>
  <c r="G495" i="7"/>
  <c r="G461" i="7"/>
  <c r="G427" i="7"/>
  <c r="G393" i="7"/>
  <c r="G359" i="7"/>
  <c r="G325" i="7"/>
  <c r="G291" i="7"/>
  <c r="G257" i="7"/>
  <c r="G223" i="7"/>
  <c r="G189" i="7"/>
  <c r="G155" i="7"/>
  <c r="G121" i="7"/>
  <c r="G87" i="7"/>
  <c r="D784" i="7"/>
  <c r="D750" i="7"/>
  <c r="D716" i="7"/>
  <c r="D682" i="7"/>
  <c r="D648" i="7"/>
  <c r="D614" i="7"/>
  <c r="D580" i="7"/>
  <c r="D801" i="7"/>
  <c r="D767" i="7"/>
  <c r="D733" i="7"/>
  <c r="D699" i="7"/>
  <c r="D665" i="7"/>
  <c r="D631" i="7"/>
  <c r="D597" i="7"/>
  <c r="D563" i="7"/>
  <c r="D529" i="7"/>
  <c r="D546" i="7"/>
  <c r="D223" i="7"/>
  <c r="D189" i="7"/>
  <c r="D155" i="7"/>
  <c r="D121" i="7"/>
  <c r="D512" i="7"/>
  <c r="D478" i="7"/>
  <c r="D444" i="7"/>
  <c r="D410" i="7"/>
  <c r="D376" i="7"/>
  <c r="D342" i="7"/>
  <c r="D308" i="7"/>
  <c r="D274" i="7"/>
  <c r="D240" i="7"/>
  <c r="D495" i="7"/>
  <c r="D461" i="7"/>
  <c r="D427" i="7"/>
  <c r="D393" i="7"/>
  <c r="D359" i="7"/>
  <c r="D325" i="7"/>
  <c r="D291" i="7"/>
  <c r="E801" i="7"/>
  <c r="E767" i="7"/>
  <c r="E784" i="7"/>
  <c r="E750" i="7"/>
  <c r="E716" i="7"/>
  <c r="E682" i="7"/>
  <c r="E648" i="7"/>
  <c r="E699" i="7"/>
  <c r="E614" i="7"/>
  <c r="E631" i="7"/>
  <c r="E597" i="7"/>
  <c r="E733" i="7"/>
  <c r="E665" i="7"/>
  <c r="E580" i="7"/>
  <c r="E563" i="7"/>
  <c r="E546" i="7"/>
  <c r="E495" i="7"/>
  <c r="E461" i="7"/>
  <c r="E427" i="7"/>
  <c r="E393" i="7"/>
  <c r="E359" i="7"/>
  <c r="E325" i="7"/>
  <c r="E291" i="7"/>
  <c r="E257" i="7"/>
  <c r="E223" i="7"/>
  <c r="E529" i="7"/>
  <c r="E512" i="7"/>
  <c r="E478" i="7"/>
  <c r="E444" i="7"/>
  <c r="E410" i="7"/>
  <c r="E376" i="7"/>
  <c r="E342" i="7"/>
  <c r="E308" i="7"/>
  <c r="E274" i="7"/>
  <c r="E240" i="7"/>
  <c r="E206" i="7"/>
  <c r="E172" i="7"/>
  <c r="E138" i="7"/>
  <c r="E104" i="7"/>
  <c r="E70" i="7"/>
  <c r="I801" i="7"/>
  <c r="I767" i="7"/>
  <c r="I784" i="7"/>
  <c r="I750" i="7"/>
  <c r="I716" i="7"/>
  <c r="I682" i="7"/>
  <c r="I648" i="7"/>
  <c r="I631" i="7"/>
  <c r="I580" i="7"/>
  <c r="I563" i="7"/>
  <c r="I546" i="7"/>
  <c r="I733" i="7"/>
  <c r="I665" i="7"/>
  <c r="I614" i="7"/>
  <c r="I529" i="7"/>
  <c r="I699" i="7"/>
  <c r="I597" i="7"/>
  <c r="I495" i="7"/>
  <c r="I461" i="7"/>
  <c r="I427" i="7"/>
  <c r="I393" i="7"/>
  <c r="I359" i="7"/>
  <c r="I325" i="7"/>
  <c r="I291" i="7"/>
  <c r="I257" i="7"/>
  <c r="I223" i="7"/>
  <c r="I478" i="7"/>
  <c r="I444" i="7"/>
  <c r="I410" i="7"/>
  <c r="I376" i="7"/>
  <c r="I342" i="7"/>
  <c r="I308" i="7"/>
  <c r="I274" i="7"/>
  <c r="I240" i="7"/>
  <c r="I206" i="7"/>
  <c r="I172" i="7"/>
  <c r="I138" i="7"/>
  <c r="I104" i="7"/>
  <c r="I70" i="7"/>
  <c r="I512" i="7"/>
  <c r="K218" i="7"/>
  <c r="K184" i="7"/>
  <c r="K150" i="7"/>
  <c r="K116" i="7"/>
  <c r="K17" i="7"/>
  <c r="C19" i="7"/>
  <c r="G19" i="7"/>
  <c r="E36" i="7"/>
  <c r="I36" i="7"/>
  <c r="C53" i="7"/>
  <c r="G53" i="7"/>
  <c r="B70" i="7"/>
  <c r="G70" i="7"/>
  <c r="K81" i="7"/>
  <c r="E87" i="7"/>
  <c r="J87" i="7"/>
  <c r="K100" i="7"/>
  <c r="K95" i="7"/>
  <c r="K101" i="7"/>
  <c r="G104" i="7"/>
  <c r="K112" i="7"/>
  <c r="K115" i="7"/>
  <c r="K117" i="7"/>
  <c r="E121" i="7"/>
  <c r="K132" i="7"/>
  <c r="H138" i="7"/>
  <c r="I155" i="7"/>
  <c r="K164" i="7"/>
  <c r="D172" i="7"/>
  <c r="K180" i="7"/>
  <c r="K183" i="7"/>
  <c r="K185" i="7"/>
  <c r="E189" i="7"/>
  <c r="K200" i="7"/>
  <c r="H206" i="7"/>
  <c r="K236" i="7"/>
  <c r="K251" i="7"/>
  <c r="K267" i="7"/>
  <c r="K270" i="7"/>
  <c r="B801" i="7"/>
  <c r="B767" i="7"/>
  <c r="B733" i="7"/>
  <c r="B699" i="7"/>
  <c r="B665" i="7"/>
  <c r="B631" i="7"/>
  <c r="B597" i="7"/>
  <c r="B784" i="7"/>
  <c r="B750" i="7"/>
  <c r="B716" i="7"/>
  <c r="B682" i="7"/>
  <c r="B648" i="7"/>
  <c r="B614" i="7"/>
  <c r="B580" i="7"/>
  <c r="B546" i="7"/>
  <c r="B563" i="7"/>
  <c r="B529" i="7"/>
  <c r="B495" i="7"/>
  <c r="B461" i="7"/>
  <c r="B427" i="7"/>
  <c r="B393" i="7"/>
  <c r="B359" i="7"/>
  <c r="B325" i="7"/>
  <c r="B291" i="7"/>
  <c r="B257" i="7"/>
  <c r="B206" i="7"/>
  <c r="B172" i="7"/>
  <c r="B138" i="7"/>
  <c r="B512" i="7"/>
  <c r="B478" i="7"/>
  <c r="B444" i="7"/>
  <c r="B410" i="7"/>
  <c r="B376" i="7"/>
  <c r="B342" i="7"/>
  <c r="B308" i="7"/>
  <c r="B274" i="7"/>
  <c r="F801" i="7"/>
  <c r="F767" i="7"/>
  <c r="F733" i="7"/>
  <c r="F699" i="7"/>
  <c r="F665" i="7"/>
  <c r="F631" i="7"/>
  <c r="F597" i="7"/>
  <c r="F784" i="7"/>
  <c r="F750" i="7"/>
  <c r="F716" i="7"/>
  <c r="F682" i="7"/>
  <c r="F648" i="7"/>
  <c r="F614" i="7"/>
  <c r="F580" i="7"/>
  <c r="F546" i="7"/>
  <c r="F512" i="7"/>
  <c r="F563" i="7"/>
  <c r="F529" i="7"/>
  <c r="F478" i="7"/>
  <c r="F444" i="7"/>
  <c r="F410" i="7"/>
  <c r="F376" i="7"/>
  <c r="F342" i="7"/>
  <c r="F308" i="7"/>
  <c r="F274" i="7"/>
  <c r="F240" i="7"/>
  <c r="F206" i="7"/>
  <c r="F172" i="7"/>
  <c r="F138" i="7"/>
  <c r="F495" i="7"/>
  <c r="F461" i="7"/>
  <c r="F427" i="7"/>
  <c r="F393" i="7"/>
  <c r="F359" i="7"/>
  <c r="F325" i="7"/>
  <c r="F291" i="7"/>
  <c r="F257" i="7"/>
  <c r="J801" i="7"/>
  <c r="J767" i="7"/>
  <c r="J733" i="7"/>
  <c r="J699" i="7"/>
  <c r="J665" i="7"/>
  <c r="J631" i="7"/>
  <c r="J597" i="7"/>
  <c r="J784" i="7"/>
  <c r="J750" i="7"/>
  <c r="J716" i="7"/>
  <c r="J682" i="7"/>
  <c r="J648" i="7"/>
  <c r="J614" i="7"/>
  <c r="J580" i="7"/>
  <c r="J546" i="7"/>
  <c r="J512" i="7"/>
  <c r="J563" i="7"/>
  <c r="J478" i="7"/>
  <c r="J444" i="7"/>
  <c r="J410" i="7"/>
  <c r="J376" i="7"/>
  <c r="J342" i="7"/>
  <c r="J308" i="7"/>
  <c r="J274" i="7"/>
  <c r="J240" i="7"/>
  <c r="J206" i="7"/>
  <c r="J172" i="7"/>
  <c r="J138" i="7"/>
  <c r="J529" i="7"/>
  <c r="J495" i="7"/>
  <c r="J461" i="7"/>
  <c r="J427" i="7"/>
  <c r="J393" i="7"/>
  <c r="J359" i="7"/>
  <c r="J325" i="7"/>
  <c r="J291" i="7"/>
  <c r="B36" i="7"/>
  <c r="F36" i="7"/>
  <c r="J36" i="7"/>
  <c r="K68" i="7"/>
  <c r="C70" i="7"/>
  <c r="H70" i="7"/>
  <c r="F87" i="7"/>
  <c r="C104" i="7"/>
  <c r="H104" i="7"/>
  <c r="F121" i="7"/>
  <c r="K133" i="7"/>
  <c r="C138" i="7"/>
  <c r="B155" i="7"/>
  <c r="J155" i="7"/>
  <c r="K165" i="7"/>
  <c r="K168" i="7"/>
  <c r="G172" i="7"/>
  <c r="F189" i="7"/>
  <c r="K201" i="7"/>
  <c r="C206" i="7"/>
  <c r="B223" i="7"/>
  <c r="K255" i="7"/>
  <c r="K254" i="7"/>
  <c r="K256" i="7"/>
  <c r="C36" i="7"/>
  <c r="G36" i="7"/>
  <c r="J70" i="7"/>
  <c r="B87" i="7"/>
  <c r="J104" i="7"/>
  <c r="K146" i="7"/>
  <c r="K149" i="7"/>
  <c r="D206" i="7"/>
  <c r="K214" i="7"/>
  <c r="K217" i="7"/>
  <c r="K219" i="7"/>
  <c r="F223" i="7"/>
  <c r="K235" i="7"/>
  <c r="B240" i="7"/>
  <c r="K265" i="7"/>
  <c r="K299" i="7"/>
  <c r="K333" i="7"/>
  <c r="K367" i="7"/>
  <c r="K401" i="7"/>
  <c r="K435" i="7"/>
  <c r="K469" i="7"/>
  <c r="K503" i="7"/>
  <c r="K539" i="7"/>
  <c r="K542" i="7"/>
  <c r="K232" i="7"/>
  <c r="K249" i="7"/>
  <c r="K252" i="7"/>
  <c r="K286" i="7"/>
  <c r="K320" i="7"/>
  <c r="K354" i="7"/>
  <c r="K388" i="7"/>
  <c r="K422" i="7"/>
  <c r="K456" i="7"/>
  <c r="K490" i="7"/>
  <c r="K234" i="7"/>
  <c r="K253" i="7"/>
  <c r="K523" i="7"/>
  <c r="K545" i="7"/>
  <c r="K576" i="7"/>
  <c r="K612" i="7"/>
  <c r="K680" i="7"/>
  <c r="K748" i="7"/>
  <c r="K541" i="7"/>
  <c r="K562" i="7"/>
  <c r="K557" i="7"/>
  <c r="K572" i="7"/>
  <c r="K596" i="7"/>
  <c r="K677" i="7"/>
  <c r="K674" i="7"/>
  <c r="K745" i="7"/>
  <c r="K742" i="7"/>
  <c r="K643" i="7"/>
  <c r="K640" i="7"/>
  <c r="K646" i="7"/>
  <c r="K555" i="7"/>
  <c r="K589" i="7"/>
  <c r="K711" i="7"/>
  <c r="K708" i="7"/>
  <c r="K659" i="7"/>
  <c r="K678" i="7"/>
  <c r="K693" i="7"/>
  <c r="K712" i="7"/>
  <c r="K727" i="7"/>
  <c r="K746" i="7"/>
  <c r="K761" i="7"/>
  <c r="K776" i="7"/>
  <c r="K780" i="7"/>
  <c r="K795" i="7"/>
  <c r="K810" i="7"/>
  <c r="K814" i="7"/>
  <c r="K782" i="7"/>
  <c r="K816" i="7"/>
  <c r="R45" i="10" l="1"/>
  <c r="Q45" i="10"/>
  <c r="P45" i="10"/>
  <c r="O45" i="10"/>
  <c r="N45" i="10"/>
  <c r="M45" i="10"/>
  <c r="L45" i="10"/>
  <c r="K45" i="10"/>
  <c r="J45" i="10"/>
  <c r="I45" i="10"/>
  <c r="H45" i="10"/>
  <c r="G45" i="10"/>
  <c r="AD20" i="10"/>
  <c r="AD15" i="10"/>
  <c r="AD13" i="10"/>
  <c r="AD11" i="10"/>
  <c r="AD10" i="10"/>
  <c r="D35" i="10"/>
  <c r="D34" i="10"/>
  <c r="D32" i="10"/>
  <c r="D30" i="10"/>
  <c r="D31" i="10"/>
  <c r="D29" i="10"/>
  <c r="D28" i="10"/>
  <c r="D27" i="10"/>
  <c r="D26" i="10"/>
  <c r="AG5" i="10" l="1"/>
  <c r="O20" i="10" l="1"/>
  <c r="O19" i="10"/>
  <c r="O17" i="10"/>
  <c r="O15" i="10"/>
  <c r="O13" i="10"/>
  <c r="O11" i="10"/>
  <c r="O10" i="10"/>
  <c r="D17" i="1"/>
  <c r="BY9" i="2"/>
  <c r="BZ9" i="2"/>
  <c r="CA9" i="2"/>
  <c r="CB9" i="2"/>
  <c r="CC9" i="2"/>
  <c r="CD9" i="2"/>
  <c r="CE9" i="2"/>
  <c r="CF9" i="2"/>
  <c r="CG9" i="2"/>
  <c r="CH9" i="2"/>
  <c r="CI9" i="2"/>
  <c r="BX9" i="2"/>
  <c r="CJ9" i="2" l="1"/>
  <c r="S9" i="1"/>
  <c r="I5" i="1" l="1"/>
  <c r="AM8" i="10" l="1"/>
  <c r="AF8" i="10" l="1"/>
  <c r="A2" i="10"/>
  <c r="I35" i="10"/>
  <c r="I34" i="10"/>
  <c r="I32" i="10"/>
  <c r="I31" i="10"/>
  <c r="I30" i="10"/>
  <c r="I29" i="10"/>
  <c r="I28" i="10"/>
  <c r="AB31" i="10" s="1"/>
  <c r="AA31" i="10" s="1"/>
  <c r="I27" i="10"/>
  <c r="I26" i="10"/>
  <c r="AB32" i="10" s="1"/>
  <c r="AA32" i="10" s="1"/>
  <c r="E57" i="2" l="1"/>
  <c r="J23" i="10"/>
  <c r="E21" i="10"/>
  <c r="AG6" i="10"/>
  <c r="AG7" i="10" s="1"/>
  <c r="AI8" i="10"/>
  <c r="G23" i="10"/>
  <c r="I23" i="10"/>
  <c r="K19" i="10"/>
  <c r="H23" i="10"/>
  <c r="AB30" i="10"/>
  <c r="AA30" i="10" s="1"/>
  <c r="AJ9" i="10" l="1"/>
  <c r="AC19" i="10"/>
  <c r="C23" i="10"/>
  <c r="C13" i="10" s="1"/>
  <c r="D23" i="10"/>
  <c r="D18" i="10" s="1"/>
  <c r="B23" i="10"/>
  <c r="B15" i="10" s="1"/>
  <c r="AH8" i="10"/>
  <c r="AI9" i="10" s="1"/>
  <c r="Q19" i="10"/>
  <c r="G19" i="10"/>
  <c r="H19" i="10"/>
  <c r="J19" i="10"/>
  <c r="I19" i="10"/>
  <c r="AB29" i="10"/>
  <c r="Z29" i="10" s="1"/>
  <c r="D17" i="10" l="1"/>
  <c r="D10" i="10"/>
  <c r="D15" i="10"/>
  <c r="D13" i="10"/>
  <c r="D11" i="10"/>
  <c r="C17" i="10"/>
  <c r="B17" i="10"/>
  <c r="B10" i="10"/>
  <c r="C15" i="10"/>
  <c r="B18" i="10"/>
  <c r="C10" i="10"/>
  <c r="B11" i="10"/>
  <c r="B13" i="10"/>
  <c r="C11" i="10"/>
  <c r="C18" i="10"/>
  <c r="AB28" i="10"/>
  <c r="Z28" i="10" s="1"/>
  <c r="AB27" i="10" l="1"/>
  <c r="AB26" i="10" s="1"/>
  <c r="Y27" i="10" l="1"/>
  <c r="X26" i="10"/>
  <c r="AB34" i="10"/>
  <c r="AA34" i="10" s="1"/>
  <c r="AB35" i="10" l="1"/>
  <c r="AA35" i="10" s="1"/>
  <c r="CI29" i="2" l="1"/>
  <c r="CE29" i="2"/>
  <c r="CD29" i="2"/>
  <c r="CI28" i="2"/>
  <c r="CE28" i="2"/>
  <c r="CD28" i="2"/>
  <c r="CI39" i="2"/>
  <c r="CE39" i="2"/>
  <c r="CD39" i="2"/>
  <c r="CI38" i="2"/>
  <c r="CE38" i="2"/>
  <c r="CD38" i="2"/>
  <c r="CI37" i="2"/>
  <c r="CE37" i="2"/>
  <c r="CD37" i="2"/>
  <c r="CI36" i="2"/>
  <c r="CE36" i="2"/>
  <c r="CD36" i="2"/>
  <c r="CI35" i="2"/>
  <c r="CE35" i="2"/>
  <c r="CD35" i="2"/>
  <c r="CI34" i="2"/>
  <c r="CE34" i="2"/>
  <c r="CD34" i="2"/>
  <c r="CI33" i="2"/>
  <c r="CE33" i="2"/>
  <c r="CD33" i="2"/>
  <c r="CI32" i="2"/>
  <c r="CE32" i="2"/>
  <c r="CD32" i="2"/>
  <c r="CI31" i="2"/>
  <c r="CE31" i="2"/>
  <c r="CD31" i="2"/>
  <c r="CI30" i="2"/>
  <c r="CE30" i="2"/>
  <c r="CD30" i="2"/>
  <c r="CI27" i="2"/>
  <c r="CE27" i="2"/>
  <c r="CD27" i="2"/>
  <c r="CI26" i="2"/>
  <c r="CE26" i="2"/>
  <c r="CD26" i="2"/>
  <c r="CI25" i="2"/>
  <c r="CE25" i="2"/>
  <c r="CD25" i="2"/>
  <c r="CI24" i="2"/>
  <c r="CE24" i="2"/>
  <c r="CD24" i="2"/>
  <c r="CI23" i="2"/>
  <c r="CE23" i="2"/>
  <c r="CD23" i="2"/>
  <c r="CJ2" i="2"/>
  <c r="P57" i="2" l="1"/>
  <c r="D25" i="1"/>
  <c r="D24" i="1"/>
  <c r="D23" i="1"/>
  <c r="CI41" i="2" l="1"/>
  <c r="G57" i="2"/>
  <c r="H57" i="2"/>
  <c r="I57" i="2"/>
  <c r="J57" i="2"/>
  <c r="K57" i="2"/>
  <c r="L57" i="2"/>
  <c r="M57" i="2"/>
  <c r="N57" i="2"/>
  <c r="O57" i="2"/>
  <c r="BX41" i="2"/>
  <c r="BX29" i="2" s="1"/>
  <c r="K29" i="1"/>
  <c r="K25" i="1"/>
  <c r="K24" i="1"/>
  <c r="K23" i="1"/>
  <c r="K22" i="1"/>
  <c r="K21" i="1"/>
  <c r="K19" i="7" s="1"/>
  <c r="K20" i="1"/>
  <c r="K19" i="1"/>
  <c r="K18" i="1"/>
  <c r="K17" i="1"/>
  <c r="CS8" i="2"/>
  <c r="CS9" i="2"/>
  <c r="CS10" i="2"/>
  <c r="CS7" i="2"/>
  <c r="CT3" i="2"/>
  <c r="CT4" i="2" s="1"/>
  <c r="CT5" i="2" s="1"/>
  <c r="CT6" i="2" s="1"/>
  <c r="CU3" i="2" s="1"/>
  <c r="CU4" i="2" s="1"/>
  <c r="CU5" i="2" s="1"/>
  <c r="CU6" i="2" s="1"/>
  <c r="CV3" i="2" s="1"/>
  <c r="CV4" i="2" s="1"/>
  <c r="CV5" i="2" s="1"/>
  <c r="CV6" i="2" s="1"/>
  <c r="CW3" i="2" s="1"/>
  <c r="CW4" i="2" s="1"/>
  <c r="CW5" i="2" s="1"/>
  <c r="CW6" i="2" s="1"/>
  <c r="CX3" i="2" s="1"/>
  <c r="CX4" i="2" s="1"/>
  <c r="CX5" i="2" s="1"/>
  <c r="CX6" i="2" s="1"/>
  <c r="CY3" i="2" s="1"/>
  <c r="CY4" i="2" s="1"/>
  <c r="CY5" i="2" s="1"/>
  <c r="CY6" i="2" s="1"/>
  <c r="CZ3" i="2" s="1"/>
  <c r="CZ4" i="2" s="1"/>
  <c r="CZ5" i="2" s="1"/>
  <c r="CZ6" i="2" s="1"/>
  <c r="DA3" i="2" s="1"/>
  <c r="DA4" i="2" s="1"/>
  <c r="DA5" i="2" s="1"/>
  <c r="DA6" i="2" s="1"/>
  <c r="DB3" i="2" s="1"/>
  <c r="DB4" i="2" s="1"/>
  <c r="DB5" i="2" s="1"/>
  <c r="DB6" i="2" s="1"/>
  <c r="DC3" i="2" s="1"/>
  <c r="DC4" i="2" s="1"/>
  <c r="DC5" i="2" s="1"/>
  <c r="DC6" i="2" s="1"/>
  <c r="DD3" i="2" s="1"/>
  <c r="DD4" i="2" s="1"/>
  <c r="DD5" i="2" s="1"/>
  <c r="DD6" i="2" s="1"/>
  <c r="DD10" i="2" s="1"/>
  <c r="F57" i="2" l="1"/>
  <c r="CH41" i="2"/>
  <c r="CH29" i="2" s="1"/>
  <c r="CD41" i="2"/>
  <c r="BZ41" i="2"/>
  <c r="BZ29" i="2" s="1"/>
  <c r="CF41" i="2"/>
  <c r="CF29" i="2" s="1"/>
  <c r="CB41" i="2"/>
  <c r="CB29" i="2" s="1"/>
  <c r="CG41" i="2"/>
  <c r="CG29" i="2" s="1"/>
  <c r="CE41" i="2"/>
  <c r="CA41" i="2"/>
  <c r="CA29" i="2" s="1"/>
  <c r="BY41" i="2"/>
  <c r="BY29" i="2" s="1"/>
  <c r="CC41" i="2"/>
  <c r="CC29" i="2" s="1"/>
  <c r="N58" i="2"/>
  <c r="J58" i="2"/>
  <c r="H58" i="2"/>
  <c r="O58" i="2"/>
  <c r="M58" i="2"/>
  <c r="K58" i="2"/>
  <c r="I58" i="2"/>
  <c r="G58" i="2"/>
  <c r="P58" i="2"/>
  <c r="L58" i="2"/>
  <c r="F58" i="2"/>
  <c r="CT7" i="2"/>
  <c r="CX7" i="2"/>
  <c r="DB7" i="2"/>
  <c r="CU8" i="2"/>
  <c r="CY8" i="2"/>
  <c r="DC8" i="2"/>
  <c r="CV9" i="2"/>
  <c r="CZ9" i="2"/>
  <c r="DD9" i="2"/>
  <c r="CW10" i="2"/>
  <c r="DA10" i="2"/>
  <c r="CV7" i="2"/>
  <c r="CZ7" i="2"/>
  <c r="DD7" i="2"/>
  <c r="CW8" i="2"/>
  <c r="DA8" i="2"/>
  <c r="CT9" i="2"/>
  <c r="CX9" i="2"/>
  <c r="DB9" i="2"/>
  <c r="CU10" i="2"/>
  <c r="CY10" i="2"/>
  <c r="DC10" i="2"/>
  <c r="CU7" i="2"/>
  <c r="CW7" i="2"/>
  <c r="CY7" i="2"/>
  <c r="DA7" i="2"/>
  <c r="DC7" i="2"/>
  <c r="CT8" i="2"/>
  <c r="CV8" i="2"/>
  <c r="CX8" i="2"/>
  <c r="CZ8" i="2"/>
  <c r="DB8" i="2"/>
  <c r="DD8" i="2"/>
  <c r="CU9" i="2"/>
  <c r="CW9" i="2"/>
  <c r="CY9" i="2"/>
  <c r="DA9" i="2"/>
  <c r="DC9" i="2"/>
  <c r="CT10" i="2"/>
  <c r="CV10" i="2"/>
  <c r="CX10" i="2"/>
  <c r="CZ10" i="2"/>
  <c r="DB10" i="2"/>
  <c r="P11" i="1"/>
  <c r="P46" i="1" l="1"/>
  <c r="J46" i="1" s="1"/>
  <c r="CH27" i="2" l="1"/>
  <c r="CH23" i="2"/>
  <c r="CH25" i="2"/>
  <c r="CH24" i="2"/>
  <c r="CH26" i="2"/>
  <c r="CH35" i="2"/>
  <c r="CH34" i="2"/>
  <c r="CH33" i="2"/>
  <c r="CH37" i="2"/>
  <c r="CI8" i="2"/>
  <c r="CI7" i="2"/>
  <c r="CI6" i="2"/>
  <c r="CI16" i="2" s="1"/>
  <c r="CI5" i="2"/>
  <c r="CI4" i="2"/>
  <c r="CH8" i="2"/>
  <c r="CH40" i="2" s="1"/>
  <c r="CH28" i="2" s="1"/>
  <c r="CH7" i="2"/>
  <c r="CH6" i="2"/>
  <c r="CH16" i="2" s="1"/>
  <c r="CH5" i="2"/>
  <c r="AW44" i="2" s="1"/>
  <c r="CH4" i="2"/>
  <c r="AW33" i="2" s="1"/>
  <c r="CG8" i="2"/>
  <c r="CG7" i="2"/>
  <c r="CG27" i="2" s="1"/>
  <c r="CG5" i="2"/>
  <c r="CG25" i="2" s="1"/>
  <c r="CG4" i="2"/>
  <c r="CG24" i="2" s="1"/>
  <c r="CF8" i="2"/>
  <c r="CF6" i="2"/>
  <c r="CF16" i="2" s="1"/>
  <c r="CF5" i="2"/>
  <c r="CF25" i="2" s="1"/>
  <c r="CF4" i="2"/>
  <c r="CF24" i="2" s="1"/>
  <c r="CE7" i="2"/>
  <c r="CE6" i="2"/>
  <c r="CE16" i="2" s="1"/>
  <c r="CE5" i="2"/>
  <c r="CD7" i="2"/>
  <c r="CD6" i="2"/>
  <c r="CD5" i="2"/>
  <c r="CC7" i="2"/>
  <c r="CC27" i="2" s="1"/>
  <c r="CC6" i="2"/>
  <c r="CC5" i="2"/>
  <c r="CC25" i="2" s="1"/>
  <c r="CB6" i="2"/>
  <c r="CB26" i="2" s="1"/>
  <c r="CB5" i="2"/>
  <c r="CB25" i="2" s="1"/>
  <c r="CA6" i="2"/>
  <c r="CA26" i="2" s="1"/>
  <c r="CA5" i="2"/>
  <c r="CA25" i="2" s="1"/>
  <c r="BZ6" i="2"/>
  <c r="BZ5" i="2"/>
  <c r="BZ25" i="2" s="1"/>
  <c r="BZ26" i="2" l="1"/>
  <c r="CF26" i="2"/>
  <c r="CC16" i="2"/>
  <c r="J33" i="2" s="1"/>
  <c r="CC26" i="2"/>
  <c r="K45" i="2"/>
  <c r="AV34" i="2"/>
  <c r="N56" i="2"/>
  <c r="AX34" i="2"/>
  <c r="P56" i="2"/>
  <c r="BZ12" i="2"/>
  <c r="BZ32" i="2" s="1"/>
  <c r="AO44" i="2"/>
  <c r="CA12" i="2"/>
  <c r="CB12" i="2"/>
  <c r="CB32" i="2" s="1"/>
  <c r="CB15" i="2"/>
  <c r="CB35" i="2" s="1"/>
  <c r="AQ44" i="2"/>
  <c r="CC12" i="2"/>
  <c r="CC15" i="2"/>
  <c r="CC35" i="2" s="1"/>
  <c r="CD12" i="2"/>
  <c r="CD15" i="2"/>
  <c r="AS44" i="2"/>
  <c r="CE12" i="2"/>
  <c r="CE15" i="2"/>
  <c r="AT44" i="2"/>
  <c r="CF11" i="2"/>
  <c r="CF14" i="2"/>
  <c r="CF34" i="2" s="1"/>
  <c r="CF17" i="2"/>
  <c r="M55" i="2"/>
  <c r="CG3" i="2"/>
  <c r="CG23" i="2" s="1"/>
  <c r="CG18" i="2"/>
  <c r="CG38" i="2" s="1"/>
  <c r="N44" i="2"/>
  <c r="CI12" i="2"/>
  <c r="CI15" i="2"/>
  <c r="AX44" i="2"/>
  <c r="AS45" i="2"/>
  <c r="AT45" i="2"/>
  <c r="AU56" i="2"/>
  <c r="AR55" i="2"/>
  <c r="AX55" i="2"/>
  <c r="CI40" i="2"/>
  <c r="CB16" i="2"/>
  <c r="AQ55" i="2"/>
  <c r="CD16" i="2"/>
  <c r="K33" i="2" s="1"/>
  <c r="AS55" i="2"/>
  <c r="CF12" i="2"/>
  <c r="CF15" i="2"/>
  <c r="CF35" i="2" s="1"/>
  <c r="CG11" i="2"/>
  <c r="CG31" i="2" s="1"/>
  <c r="CG14" i="2"/>
  <c r="CG34" i="2" s="1"/>
  <c r="AV33" i="2"/>
  <c r="CG17" i="2"/>
  <c r="CG37" i="2" s="1"/>
  <c r="N55" i="2"/>
  <c r="CH3" i="2"/>
  <c r="CH18" i="2"/>
  <c r="O44" i="2"/>
  <c r="AR45" i="2"/>
  <c r="AQ45" i="2"/>
  <c r="AP45" i="2"/>
  <c r="AQ56" i="2"/>
  <c r="AR56" i="2"/>
  <c r="AX56" i="2"/>
  <c r="AU33" i="2"/>
  <c r="CF40" i="2"/>
  <c r="CF28" i="2" s="1"/>
  <c r="AO55" i="2"/>
  <c r="BZ7" i="2"/>
  <c r="CA3" i="2"/>
  <c r="CA7" i="2"/>
  <c r="CB3" i="2"/>
  <c r="CB23" i="2" s="1"/>
  <c r="CB7" i="2"/>
  <c r="CC3" i="2"/>
  <c r="CC23" i="2" s="1"/>
  <c r="J44" i="2"/>
  <c r="CD3" i="2"/>
  <c r="K44" i="2"/>
  <c r="CE3" i="2"/>
  <c r="L44" i="2"/>
  <c r="CG15" i="2"/>
  <c r="CG35" i="2" s="1"/>
  <c r="CG12" i="2"/>
  <c r="CG32" i="2" s="1"/>
  <c r="AV44" i="2"/>
  <c r="CH11" i="2"/>
  <c r="CH14" i="2"/>
  <c r="CH17" i="2"/>
  <c r="AF55" i="2" s="1"/>
  <c r="O55" i="2"/>
  <c r="CI3" i="2"/>
  <c r="CI18" i="2"/>
  <c r="P44" i="2"/>
  <c r="AW45" i="2"/>
  <c r="AX45" i="2"/>
  <c r="AT55" i="2"/>
  <c r="AP55" i="2"/>
  <c r="O45" i="2"/>
  <c r="O56" i="2"/>
  <c r="AR44" i="2"/>
  <c r="AP44" i="2"/>
  <c r="AW55" i="2"/>
  <c r="BZ3" i="2"/>
  <c r="BZ23" i="2" s="1"/>
  <c r="BZ4" i="2"/>
  <c r="BZ24" i="2" s="1"/>
  <c r="BZ8" i="2"/>
  <c r="BZ15" i="2" s="1"/>
  <c r="BZ35" i="2" s="1"/>
  <c r="CA4" i="2"/>
  <c r="CA24" i="2" s="1"/>
  <c r="CA8" i="2"/>
  <c r="CA15" i="2" s="1"/>
  <c r="CA35" i="2" s="1"/>
  <c r="CB4" i="2"/>
  <c r="CB24" i="2" s="1"/>
  <c r="CB8" i="2"/>
  <c r="CC4" i="2"/>
  <c r="CC24" i="2" s="1"/>
  <c r="CC8" i="2"/>
  <c r="CD4" i="2"/>
  <c r="CD8" i="2"/>
  <c r="CD18" i="2" s="1"/>
  <c r="CD19" i="2" s="1"/>
  <c r="CE4" i="2"/>
  <c r="CE8" i="2"/>
  <c r="CF3" i="2"/>
  <c r="CF23" i="2" s="1"/>
  <c r="CF7" i="2"/>
  <c r="CG6" i="2"/>
  <c r="CG26" i="2" s="1"/>
  <c r="CH12" i="2"/>
  <c r="CH15" i="2"/>
  <c r="CI11" i="2"/>
  <c r="CI14" i="2"/>
  <c r="AX33" i="2"/>
  <c r="CI17" i="2"/>
  <c r="AG55" i="2" s="1"/>
  <c r="P55" i="2"/>
  <c r="P45" i="2"/>
  <c r="AW34" i="2"/>
  <c r="AU45" i="2"/>
  <c r="AV45" i="2"/>
  <c r="AS56" i="2"/>
  <c r="AT56" i="2"/>
  <c r="AP56" i="2"/>
  <c r="L45" i="2"/>
  <c r="AU44" i="2"/>
  <c r="AU55" i="2"/>
  <c r="CG40" i="2"/>
  <c r="CG28" i="2" s="1"/>
  <c r="BY7" i="2"/>
  <c r="F44" i="2" s="1"/>
  <c r="BY3" i="2"/>
  <c r="BY23" i="2" s="1"/>
  <c r="BY4" i="2"/>
  <c r="BY8" i="2"/>
  <c r="BY5" i="2"/>
  <c r="AN44" i="2" s="1"/>
  <c r="BY6" i="2"/>
  <c r="L33" i="2"/>
  <c r="M33" i="2"/>
  <c r="O33" i="2"/>
  <c r="P33" i="2"/>
  <c r="R9" i="1"/>
  <c r="M29" i="1"/>
  <c r="L29" i="1"/>
  <c r="J29" i="1"/>
  <c r="I29" i="1"/>
  <c r="H29" i="1"/>
  <c r="G29" i="1"/>
  <c r="F29" i="1"/>
  <c r="E29" i="1"/>
  <c r="D29" i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2" i="8"/>
  <c r="O29" i="1" s="1"/>
  <c r="CH19" i="2" l="1"/>
  <c r="Q44" i="10" s="1"/>
  <c r="AA4" i="10" s="1"/>
  <c r="CI19" i="2"/>
  <c r="R44" i="10" s="1"/>
  <c r="CG19" i="2"/>
  <c r="N22" i="2" s="1"/>
  <c r="N45" i="2"/>
  <c r="CF27" i="2"/>
  <c r="AD55" i="2"/>
  <c r="CF37" i="2"/>
  <c r="CA23" i="2"/>
  <c r="AE56" i="2"/>
  <c r="CA16" i="2"/>
  <c r="H33" i="2" s="1"/>
  <c r="CA27" i="2"/>
  <c r="I33" i="2"/>
  <c r="CB36" i="2"/>
  <c r="J45" i="2"/>
  <c r="CB27" i="2"/>
  <c r="AO34" i="2"/>
  <c r="BZ16" i="2"/>
  <c r="BZ27" i="2"/>
  <c r="AG56" i="2"/>
  <c r="AE55" i="2"/>
  <c r="AF56" i="2"/>
  <c r="M44" i="10"/>
  <c r="R4" i="10" s="1"/>
  <c r="K22" i="2"/>
  <c r="CG16" i="2"/>
  <c r="AV56" i="2"/>
  <c r="AV55" i="2"/>
  <c r="CD11" i="2"/>
  <c r="CD14" i="2"/>
  <c r="AS33" i="2"/>
  <c r="AS34" i="2"/>
  <c r="CB14" i="2"/>
  <c r="CB34" i="2" s="1"/>
  <c r="CB11" i="2"/>
  <c r="CB31" i="2" s="1"/>
  <c r="AQ33" i="2"/>
  <c r="AQ34" i="2"/>
  <c r="BZ11" i="2"/>
  <c r="BZ31" i="2" s="1"/>
  <c r="BZ14" i="2"/>
  <c r="BZ34" i="2" s="1"/>
  <c r="AO33" i="2"/>
  <c r="CB18" i="2"/>
  <c r="CB19" i="2" s="1"/>
  <c r="I44" i="2"/>
  <c r="I45" i="2"/>
  <c r="CA13" i="2"/>
  <c r="CA33" i="2" s="1"/>
  <c r="CA10" i="2"/>
  <c r="AP23" i="2"/>
  <c r="AP22" i="2"/>
  <c r="CH10" i="2"/>
  <c r="CH13" i="2"/>
  <c r="AW23" i="2"/>
  <c r="AW22" i="2"/>
  <c r="CE17" i="2"/>
  <c r="L55" i="2"/>
  <c r="L56" i="2"/>
  <c r="CE40" i="2"/>
  <c r="CC17" i="2"/>
  <c r="CC37" i="2" s="1"/>
  <c r="J55" i="2"/>
  <c r="J56" i="2"/>
  <c r="CC40" i="2"/>
  <c r="CC28" i="2" s="1"/>
  <c r="CA17" i="2"/>
  <c r="CA37" i="2" s="1"/>
  <c r="H55" i="2"/>
  <c r="CA40" i="2"/>
  <c r="CA28" i="2" s="1"/>
  <c r="H56" i="2"/>
  <c r="BZ10" i="2"/>
  <c r="BZ13" i="2"/>
  <c r="BZ33" i="2" s="1"/>
  <c r="AO22" i="2"/>
  <c r="CE18" i="2"/>
  <c r="CC18" i="2"/>
  <c r="CB10" i="2"/>
  <c r="Z23" i="2" s="1"/>
  <c r="CB13" i="2"/>
  <c r="CB33" i="2" s="1"/>
  <c r="AQ22" i="2"/>
  <c r="AQ23" i="2"/>
  <c r="CF18" i="2"/>
  <c r="M44" i="2"/>
  <c r="M45" i="2"/>
  <c r="CE11" i="2"/>
  <c r="CE14" i="2"/>
  <c r="AT33" i="2"/>
  <c r="AT34" i="2"/>
  <c r="CC11" i="2"/>
  <c r="CC14" i="2"/>
  <c r="CC34" i="2" s="1"/>
  <c r="AR34" i="2"/>
  <c r="AR33" i="2"/>
  <c r="CA11" i="2"/>
  <c r="CA31" i="2" s="1"/>
  <c r="CA14" i="2"/>
  <c r="CA34" i="2" s="1"/>
  <c r="AP34" i="2"/>
  <c r="AP33" i="2"/>
  <c r="M56" i="2"/>
  <c r="CI13" i="2"/>
  <c r="CI10" i="2"/>
  <c r="AX22" i="2"/>
  <c r="AX23" i="2"/>
  <c r="CE13" i="2"/>
  <c r="CE10" i="2"/>
  <c r="AT22" i="2"/>
  <c r="AT23" i="2"/>
  <c r="CD10" i="2"/>
  <c r="CD13" i="2"/>
  <c r="AS22" i="2"/>
  <c r="AS23" i="2"/>
  <c r="CC10" i="2"/>
  <c r="AA23" i="2" s="1"/>
  <c r="CC13" i="2"/>
  <c r="CC33" i="2" s="1"/>
  <c r="AR23" i="2"/>
  <c r="AR22" i="2"/>
  <c r="BZ18" i="2"/>
  <c r="BZ19" i="2" s="1"/>
  <c r="G44" i="2"/>
  <c r="CG10" i="2"/>
  <c r="CG30" i="2" s="1"/>
  <c r="CG13" i="2"/>
  <c r="CG33" i="2" s="1"/>
  <c r="AV22" i="2"/>
  <c r="AV23" i="2"/>
  <c r="CF10" i="2"/>
  <c r="CF13" i="2"/>
  <c r="CF33" i="2" s="1"/>
  <c r="AU22" i="2"/>
  <c r="AU23" i="2"/>
  <c r="CD17" i="2"/>
  <c r="K55" i="2"/>
  <c r="K56" i="2"/>
  <c r="CD40" i="2"/>
  <c r="CB17" i="2"/>
  <c r="CB37" i="2" s="1"/>
  <c r="I55" i="2"/>
  <c r="I56" i="2"/>
  <c r="CB40" i="2"/>
  <c r="CB28" i="2" s="1"/>
  <c r="BZ17" i="2"/>
  <c r="G55" i="2"/>
  <c r="BZ40" i="2"/>
  <c r="BZ28" i="2" s="1"/>
  <c r="AW56" i="2"/>
  <c r="CA18" i="2"/>
  <c r="H44" i="2"/>
  <c r="H45" i="2"/>
  <c r="AU34" i="2"/>
  <c r="AO23" i="2"/>
  <c r="AN22" i="2"/>
  <c r="G45" i="2"/>
  <c r="BY16" i="2"/>
  <c r="F33" i="2" s="1"/>
  <c r="BY17" i="2"/>
  <c r="BY37" i="2" s="1"/>
  <c r="BY24" i="2"/>
  <c r="BY27" i="2"/>
  <c r="BY25" i="2"/>
  <c r="BY26" i="2"/>
  <c r="AO45" i="2"/>
  <c r="AN55" i="2"/>
  <c r="G56" i="2"/>
  <c r="AN33" i="2"/>
  <c r="BY10" i="2"/>
  <c r="AO56" i="2"/>
  <c r="BY40" i="2"/>
  <c r="BY28" i="2" s="1"/>
  <c r="BY18" i="2"/>
  <c r="BY13" i="2"/>
  <c r="BY33" i="2" s="1"/>
  <c r="BY15" i="2"/>
  <c r="BY35" i="2" s="1"/>
  <c r="BY12" i="2"/>
  <c r="BY11" i="2"/>
  <c r="BY31" i="2" s="1"/>
  <c r="BY14" i="2"/>
  <c r="BY34" i="2" s="1"/>
  <c r="F55" i="2"/>
  <c r="CC36" i="2"/>
  <c r="CH36" i="2"/>
  <c r="CF36" i="2"/>
  <c r="CF38" i="2"/>
  <c r="CH38" i="2"/>
  <c r="P34" i="2"/>
  <c r="M34" i="2"/>
  <c r="L34" i="2"/>
  <c r="J34" i="2"/>
  <c r="K34" i="2"/>
  <c r="CH31" i="2"/>
  <c r="CF31" i="2"/>
  <c r="CC32" i="2"/>
  <c r="CA32" i="2"/>
  <c r="CC31" i="2"/>
  <c r="CH32" i="2"/>
  <c r="CH30" i="2"/>
  <c r="CF32" i="2"/>
  <c r="P12" i="1"/>
  <c r="P13" i="1" s="1"/>
  <c r="P14" i="1" s="1"/>
  <c r="Q14" i="1" s="1"/>
  <c r="Q11" i="1"/>
  <c r="N33" i="2" l="1"/>
  <c r="CG36" i="2"/>
  <c r="P44" i="10"/>
  <c r="Y4" i="10" s="1"/>
  <c r="CG39" i="2"/>
  <c r="O22" i="2"/>
  <c r="P22" i="2"/>
  <c r="BY19" i="2"/>
  <c r="H44" i="10" s="1"/>
  <c r="I4" i="10" s="1"/>
  <c r="CA19" i="2"/>
  <c r="J44" i="10" s="1"/>
  <c r="L4" i="10" s="1"/>
  <c r="CF19" i="2"/>
  <c r="M22" i="2" s="1"/>
  <c r="CE19" i="2"/>
  <c r="L23" i="2" s="1"/>
  <c r="CC19" i="2"/>
  <c r="L44" i="10" s="1"/>
  <c r="P4" i="10" s="1"/>
  <c r="CC38" i="2"/>
  <c r="AG23" i="2"/>
  <c r="AD23" i="2"/>
  <c r="AC22" i="2"/>
  <c r="AC23" i="2"/>
  <c r="X23" i="2"/>
  <c r="AF23" i="2"/>
  <c r="AE23" i="2"/>
  <c r="AB22" i="2"/>
  <c r="AB23" i="2"/>
  <c r="Y23" i="2"/>
  <c r="AD22" i="2"/>
  <c r="CF30" i="2"/>
  <c r="BY38" i="2"/>
  <c r="CC30" i="2"/>
  <c r="I34" i="2"/>
  <c r="CA36" i="2"/>
  <c r="H34" i="2"/>
  <c r="O34" i="2"/>
  <c r="CA38" i="2"/>
  <c r="Y22" i="2"/>
  <c r="CA30" i="2"/>
  <c r="BY36" i="2"/>
  <c r="Z22" i="2"/>
  <c r="CB30" i="2"/>
  <c r="CB38" i="2"/>
  <c r="AA22" i="2"/>
  <c r="N34" i="2"/>
  <c r="BZ39" i="2"/>
  <c r="BZ38" i="2"/>
  <c r="X22" i="2"/>
  <c r="BZ30" i="2"/>
  <c r="X55" i="2"/>
  <c r="BZ37" i="2"/>
  <c r="G33" i="2"/>
  <c r="BZ36" i="2"/>
  <c r="Y55" i="2"/>
  <c r="Y56" i="2"/>
  <c r="AA55" i="2"/>
  <c r="AA56" i="2"/>
  <c r="AD56" i="2"/>
  <c r="AC55" i="2"/>
  <c r="AC56" i="2"/>
  <c r="Z56" i="2"/>
  <c r="Z55" i="2"/>
  <c r="AB55" i="2"/>
  <c r="AB56" i="2"/>
  <c r="W55" i="2"/>
  <c r="X56" i="2"/>
  <c r="G34" i="2"/>
  <c r="BY30" i="2"/>
  <c r="W22" i="2"/>
  <c r="CF39" i="2"/>
  <c r="O23" i="2"/>
  <c r="N11" i="1"/>
  <c r="Q12" i="1"/>
  <c r="CH39" i="2"/>
  <c r="CA39" i="2"/>
  <c r="CC39" i="2"/>
  <c r="W44" i="2"/>
  <c r="BY32" i="2"/>
  <c r="P23" i="2"/>
  <c r="Z44" i="2"/>
  <c r="Z45" i="2"/>
  <c r="AD44" i="2"/>
  <c r="AD45" i="2"/>
  <c r="AE44" i="2"/>
  <c r="AE45" i="2"/>
  <c r="AF44" i="2"/>
  <c r="AF45" i="2"/>
  <c r="AG44" i="2"/>
  <c r="AG45" i="2"/>
  <c r="X44" i="2"/>
  <c r="X45" i="2"/>
  <c r="AB44" i="2"/>
  <c r="AB45" i="2"/>
  <c r="AC44" i="2"/>
  <c r="AC45" i="2"/>
  <c r="Y44" i="2"/>
  <c r="Y45" i="2"/>
  <c r="AA44" i="2"/>
  <c r="AA45" i="2"/>
  <c r="AA33" i="2"/>
  <c r="AA34" i="2"/>
  <c r="AC33" i="2"/>
  <c r="AC34" i="2"/>
  <c r="AG33" i="2"/>
  <c r="AG34" i="2"/>
  <c r="Z33" i="2"/>
  <c r="Z34" i="2"/>
  <c r="AB33" i="2"/>
  <c r="AB34" i="2"/>
  <c r="Y33" i="2"/>
  <c r="Y34" i="2"/>
  <c r="AE33" i="2"/>
  <c r="AE34" i="2"/>
  <c r="X33" i="2"/>
  <c r="X34" i="2"/>
  <c r="AF33" i="2"/>
  <c r="AF34" i="2"/>
  <c r="AD33" i="2"/>
  <c r="AD34" i="2"/>
  <c r="W33" i="2"/>
  <c r="AG22" i="2"/>
  <c r="AE22" i="2"/>
  <c r="AF22" i="2"/>
  <c r="N14" i="1"/>
  <c r="Q13" i="1"/>
  <c r="M10" i="1"/>
  <c r="L25" i="1"/>
  <c r="L24" i="1"/>
  <c r="L23" i="1"/>
  <c r="L22" i="1"/>
  <c r="L21" i="1"/>
  <c r="L20" i="1"/>
  <c r="L19" i="1"/>
  <c r="L18" i="1"/>
  <c r="L17" i="1"/>
  <c r="BX7" i="2"/>
  <c r="CJ7" i="2" s="1"/>
  <c r="BX5" i="2"/>
  <c r="CJ5" i="2" s="1"/>
  <c r="BX4" i="2"/>
  <c r="CJ4" i="2" s="1"/>
  <c r="BX3" i="2"/>
  <c r="CJ3" i="2" s="1"/>
  <c r="F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M15" i="1"/>
  <c r="M14" i="1"/>
  <c r="M13" i="1"/>
  <c r="M12" i="1"/>
  <c r="M11" i="1"/>
  <c r="D19" i="1"/>
  <c r="D18" i="1"/>
  <c r="L22" i="2" l="1"/>
  <c r="J22" i="2"/>
  <c r="I23" i="2"/>
  <c r="K23" i="2"/>
  <c r="BY39" i="2"/>
  <c r="N23" i="2"/>
  <c r="F22" i="2"/>
  <c r="M23" i="2"/>
  <c r="N44" i="10"/>
  <c r="U4" i="10" s="1"/>
  <c r="H22" i="2"/>
  <c r="O44" i="10"/>
  <c r="V4" i="10" s="1"/>
  <c r="AM22" i="2"/>
  <c r="J23" i="2"/>
  <c r="K44" i="10"/>
  <c r="N4" i="10" s="1"/>
  <c r="CB39" i="2"/>
  <c r="I22" i="2"/>
  <c r="G23" i="2"/>
  <c r="G22" i="2"/>
  <c r="H23" i="2"/>
  <c r="I44" i="10"/>
  <c r="K4" i="10" s="1"/>
  <c r="BX11" i="2"/>
  <c r="BX8" i="2"/>
  <c r="BX10" i="2"/>
  <c r="W23" i="2" s="1"/>
  <c r="BX6" i="2"/>
  <c r="E44" i="2"/>
  <c r="BX23" i="2"/>
  <c r="A19" i="10"/>
  <c r="A20" i="10"/>
  <c r="G10" i="10"/>
  <c r="G18" i="10"/>
  <c r="G13" i="10"/>
  <c r="G17" i="10"/>
  <c r="G11" i="10"/>
  <c r="G15" i="10"/>
  <c r="N12" i="1"/>
  <c r="M21" i="1"/>
  <c r="BX24" i="2"/>
  <c r="BX25" i="2"/>
  <c r="BX27" i="2"/>
  <c r="AM33" i="2"/>
  <c r="AN34" i="2"/>
  <c r="AM44" i="2"/>
  <c r="AN45" i="2"/>
  <c r="F45" i="2"/>
  <c r="N13" i="1"/>
  <c r="R12" i="1"/>
  <c r="C29" i="1"/>
  <c r="O13" i="1"/>
  <c r="O11" i="1"/>
  <c r="O14" i="1"/>
  <c r="O12" i="1"/>
  <c r="M23" i="1"/>
  <c r="M24" i="1"/>
  <c r="M20" i="1"/>
  <c r="M22" i="1"/>
  <c r="M25" i="1"/>
  <c r="M19" i="1"/>
  <c r="M18" i="1"/>
  <c r="M17" i="1"/>
  <c r="BX16" i="2" l="1"/>
  <c r="CJ16" i="2" s="1"/>
  <c r="CJ6" i="2"/>
  <c r="BX17" i="2"/>
  <c r="BX37" i="2" s="1"/>
  <c r="CJ8" i="2"/>
  <c r="BX12" i="2"/>
  <c r="AM55" i="2"/>
  <c r="BX26" i="2"/>
  <c r="BX14" i="2"/>
  <c r="CJ14" i="2" s="1"/>
  <c r="BX13" i="2"/>
  <c r="CJ13" i="2" s="1"/>
  <c r="BX18" i="2"/>
  <c r="BX19" i="2" s="1"/>
  <c r="AN56" i="2"/>
  <c r="R14" i="1"/>
  <c r="BX15" i="2"/>
  <c r="CJ15" i="2" s="1"/>
  <c r="R13" i="1"/>
  <c r="E33" i="2"/>
  <c r="E55" i="2"/>
  <c r="BX40" i="2"/>
  <c r="BX28" i="2" s="1"/>
  <c r="H11" i="10"/>
  <c r="H13" i="10"/>
  <c r="I13" i="10" s="1"/>
  <c r="H10" i="10"/>
  <c r="I10" i="10" s="1"/>
  <c r="J10" i="10" s="1"/>
  <c r="B19" i="10"/>
  <c r="H15" i="10"/>
  <c r="H17" i="10"/>
  <c r="I17" i="10" s="1"/>
  <c r="B20" i="10"/>
  <c r="F56" i="2"/>
  <c r="R11" i="1"/>
  <c r="AN23" i="2"/>
  <c r="BX30" i="2"/>
  <c r="E34" i="1"/>
  <c r="G14" i="10"/>
  <c r="G16" i="10"/>
  <c r="G12" i="10"/>
  <c r="G22" i="10"/>
  <c r="G20" i="10"/>
  <c r="G21" i="10"/>
  <c r="H18" i="10"/>
  <c r="BX36" i="2"/>
  <c r="E32" i="1"/>
  <c r="M35" i="1"/>
  <c r="V42" i="1" s="1"/>
  <c r="E30" i="1"/>
  <c r="M33" i="1"/>
  <c r="V40" i="1" s="1"/>
  <c r="M32" i="1"/>
  <c r="V39" i="1" s="1"/>
  <c r="F31" i="1"/>
  <c r="D33" i="1"/>
  <c r="D35" i="1"/>
  <c r="E31" i="1"/>
  <c r="J34" i="1"/>
  <c r="L30" i="1"/>
  <c r="J31" i="1"/>
  <c r="I32" i="1"/>
  <c r="H33" i="1"/>
  <c r="H43" i="1" s="1"/>
  <c r="I34" i="1"/>
  <c r="H35" i="1"/>
  <c r="H44" i="1" s="1"/>
  <c r="F30" i="1"/>
  <c r="D32" i="1"/>
  <c r="L33" i="1"/>
  <c r="L43" i="1" s="1"/>
  <c r="I35" i="1"/>
  <c r="I44" i="1" s="1"/>
  <c r="K30" i="1"/>
  <c r="K40" i="1" s="1"/>
  <c r="K32" i="1"/>
  <c r="K42" i="1" s="1"/>
  <c r="K31" i="1"/>
  <c r="K41" i="1" s="1"/>
  <c r="J30" i="1"/>
  <c r="I31" i="1"/>
  <c r="I41" i="1" s="1"/>
  <c r="H32" i="1"/>
  <c r="G33" i="1"/>
  <c r="F34" i="1"/>
  <c r="E35" i="1"/>
  <c r="G30" i="1"/>
  <c r="K33" i="1"/>
  <c r="K43" i="1" s="1"/>
  <c r="K35" i="1"/>
  <c r="K44" i="1" s="1"/>
  <c r="K34" i="1"/>
  <c r="I30" i="1"/>
  <c r="I40" i="1" s="1"/>
  <c r="D31" i="1"/>
  <c r="H31" i="1"/>
  <c r="H41" i="1" s="1"/>
  <c r="M31" i="1"/>
  <c r="V38" i="1" s="1"/>
  <c r="G32" i="1"/>
  <c r="L32" i="1"/>
  <c r="L42" i="1" s="1"/>
  <c r="F33" i="1"/>
  <c r="F43" i="1" s="1"/>
  <c r="J33" i="1"/>
  <c r="J43" i="1" s="1"/>
  <c r="G34" i="1"/>
  <c r="L34" i="1"/>
  <c r="F35" i="1"/>
  <c r="F44" i="1" s="1"/>
  <c r="J35" i="1"/>
  <c r="J44" i="1" s="1"/>
  <c r="D30" i="1"/>
  <c r="H30" i="1"/>
  <c r="H40" i="1" s="1"/>
  <c r="M30" i="1"/>
  <c r="V37" i="1" s="1"/>
  <c r="G31" i="1"/>
  <c r="L31" i="1"/>
  <c r="L41" i="1" s="1"/>
  <c r="F32" i="1"/>
  <c r="J32" i="1"/>
  <c r="J42" i="1" s="1"/>
  <c r="E33" i="1"/>
  <c r="I33" i="1"/>
  <c r="I43" i="1" s="1"/>
  <c r="D34" i="1"/>
  <c r="H34" i="1"/>
  <c r="M34" i="1"/>
  <c r="V41" i="1" s="1"/>
  <c r="G35" i="1"/>
  <c r="L35" i="1"/>
  <c r="L44" i="1" s="1"/>
  <c r="F34" i="2" l="1"/>
  <c r="CJ18" i="2"/>
  <c r="BX33" i="2"/>
  <c r="G44" i="1"/>
  <c r="E44" i="1"/>
  <c r="E43" i="1"/>
  <c r="F42" i="1"/>
  <c r="G42" i="1"/>
  <c r="F41" i="1"/>
  <c r="E41" i="1"/>
  <c r="E42" i="1"/>
  <c r="G41" i="1"/>
  <c r="G43" i="1"/>
  <c r="R10" i="1"/>
  <c r="V55" i="2"/>
  <c r="H20" i="10"/>
  <c r="BX34" i="2"/>
  <c r="BX35" i="2"/>
  <c r="K10" i="10"/>
  <c r="H12" i="10"/>
  <c r="H16" i="10"/>
  <c r="H14" i="10"/>
  <c r="C20" i="10"/>
  <c r="D20" i="10" s="1"/>
  <c r="E20" i="10" s="1"/>
  <c r="I18" i="10"/>
  <c r="I21" i="10" s="1"/>
  <c r="J17" i="10"/>
  <c r="K17" i="10" s="1"/>
  <c r="J13" i="10"/>
  <c r="K13" i="10" s="1"/>
  <c r="I15" i="10"/>
  <c r="I20" i="10" s="1"/>
  <c r="C19" i="10"/>
  <c r="D19" i="10" s="1"/>
  <c r="E19" i="10" s="1"/>
  <c r="I11" i="10"/>
  <c r="I14" i="10" s="1"/>
  <c r="M40" i="1"/>
  <c r="CJ10" i="2"/>
  <c r="V22" i="2"/>
  <c r="W56" i="2"/>
  <c r="CJ17" i="2"/>
  <c r="BX38" i="2"/>
  <c r="H21" i="10"/>
  <c r="H22" i="10"/>
  <c r="W34" i="2"/>
  <c r="BX31" i="2"/>
  <c r="W45" i="2"/>
  <c r="BX32" i="2"/>
  <c r="D40" i="1"/>
  <c r="E38" i="1"/>
  <c r="E39" i="1"/>
  <c r="M45" i="1"/>
  <c r="D46" i="1" s="1"/>
  <c r="D45" i="1"/>
  <c r="M39" i="1"/>
  <c r="W39" i="1" s="1"/>
  <c r="E37" i="1"/>
  <c r="M41" i="1"/>
  <c r="D41" i="1"/>
  <c r="F38" i="1"/>
  <c r="D42" i="1"/>
  <c r="M42" i="1"/>
  <c r="CJ12" i="2"/>
  <c r="V44" i="2"/>
  <c r="CJ11" i="2"/>
  <c r="V33" i="2"/>
  <c r="K45" i="1"/>
  <c r="L45" i="1"/>
  <c r="J38" i="1"/>
  <c r="J41" i="1"/>
  <c r="J45" i="1"/>
  <c r="M43" i="1"/>
  <c r="H45" i="1"/>
  <c r="G45" i="1"/>
  <c r="G37" i="1"/>
  <c r="G40" i="1"/>
  <c r="F45" i="1"/>
  <c r="H39" i="1"/>
  <c r="H42" i="1"/>
  <c r="J37" i="1"/>
  <c r="J40" i="1"/>
  <c r="F37" i="1"/>
  <c r="F40" i="1"/>
  <c r="I45" i="1"/>
  <c r="I39" i="1"/>
  <c r="I42" i="1"/>
  <c r="L37" i="1"/>
  <c r="L40" i="1"/>
  <c r="E45" i="1"/>
  <c r="M44" i="1"/>
  <c r="E40" i="1"/>
  <c r="D37" i="1"/>
  <c r="D39" i="1"/>
  <c r="I38" i="1"/>
  <c r="K39" i="1"/>
  <c r="K38" i="1"/>
  <c r="K36" i="7" s="1"/>
  <c r="K37" i="1"/>
  <c r="J39" i="1"/>
  <c r="L38" i="1"/>
  <c r="M37" i="1"/>
  <c r="W37" i="1" s="1"/>
  <c r="G39" i="1"/>
  <c r="H38" i="1"/>
  <c r="I37" i="1"/>
  <c r="D44" i="1"/>
  <c r="F39" i="1"/>
  <c r="G38" i="1"/>
  <c r="H37" i="1"/>
  <c r="L39" i="1"/>
  <c r="M38" i="1"/>
  <c r="W38" i="1" s="1"/>
  <c r="D38" i="1"/>
  <c r="D43" i="1"/>
  <c r="G44" i="10" l="1"/>
  <c r="CJ19" i="2"/>
  <c r="E22" i="2"/>
  <c r="BX39" i="2"/>
  <c r="Q10" i="10"/>
  <c r="I12" i="10"/>
  <c r="I16" i="10"/>
  <c r="E22" i="10"/>
  <c r="AH9" i="10" s="1"/>
  <c r="AG9" i="10" s="1"/>
  <c r="J18" i="10"/>
  <c r="J11" i="10"/>
  <c r="J12" i="10" s="1"/>
  <c r="J15" i="10"/>
  <c r="J16" i="10" s="1"/>
  <c r="I22" i="10"/>
  <c r="F23" i="2"/>
  <c r="AG8" i="10" l="1"/>
  <c r="G4" i="10"/>
  <c r="K18" i="10"/>
  <c r="J21" i="10"/>
  <c r="J14" i="10"/>
  <c r="J22" i="10"/>
  <c r="K11" i="10"/>
  <c r="K15" i="10"/>
  <c r="K20" i="10" s="1"/>
  <c r="J20" i="10"/>
  <c r="K21" i="10" l="1"/>
  <c r="AH10" i="10"/>
  <c r="AK8" i="10"/>
  <c r="AI5" i="10" s="1"/>
  <c r="AI7" i="10" s="1"/>
  <c r="AG15" i="10"/>
  <c r="AL5" i="10"/>
  <c r="AE5" i="10"/>
  <c r="AE7" i="10" s="1"/>
  <c r="Q18" i="10"/>
  <c r="AL7" i="10"/>
  <c r="AL6" i="10" s="1"/>
  <c r="K14" i="10"/>
  <c r="K12" i="10"/>
  <c r="K16" i="10"/>
  <c r="AF13" i="10"/>
  <c r="AG14" i="10" l="1"/>
  <c r="AH15" i="10" s="1"/>
  <c r="AC10" i="10" s="1"/>
  <c r="AC18" i="10" s="1"/>
  <c r="AL8" i="10"/>
  <c r="AC20" i="10" s="1"/>
  <c r="Q11" i="10"/>
  <c r="Q13" i="10" s="1"/>
  <c r="AL4" i="10"/>
  <c r="V18" i="10" s="1"/>
  <c r="AC11" i="10" l="1"/>
  <c r="AC13" i="10" s="1"/>
  <c r="AC15" i="10" s="1"/>
  <c r="AH16" i="10"/>
  <c r="AH14" i="10"/>
  <c r="AI14" i="10" s="1"/>
  <c r="Q15" i="10"/>
  <c r="Q17" i="10" s="1"/>
  <c r="Q12" i="10"/>
  <c r="Q14" i="10"/>
  <c r="Q20" i="10" l="1"/>
  <c r="Q16" i="10"/>
  <c r="Q21" i="10" s="1"/>
  <c r="P21" i="10" s="1"/>
  <c r="O21" i="10" l="1"/>
  <c r="AC12" i="10"/>
  <c r="AC17" i="10" l="1"/>
  <c r="AC21" i="10" s="1"/>
  <c r="AC14" i="10"/>
  <c r="AC4" i="10"/>
  <c r="AC16" i="10" l="1"/>
  <c r="AH17" i="10" s="1"/>
</calcChain>
</file>

<file path=xl/comments1.xml><?xml version="1.0" encoding="utf-8"?>
<comments xmlns="http://schemas.openxmlformats.org/spreadsheetml/2006/main">
  <authors>
    <author>truejacko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Блок фактические данные месяца</t>
        </r>
        <r>
          <rPr>
            <sz val="9"/>
            <color indexed="81"/>
            <rFont val="Tahoma"/>
            <family val="2"/>
            <charset val="204"/>
          </rPr>
          <t xml:space="preserve">
В режиме фактов данный блок отображает ключевые показатели по фактически заполненным неделям месяца.
В режиме прогноза данный блок усредняет значения по заполненным неделям месяца и достраивает показатели до конца месяца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Блок анализ "что будет если"
</t>
        </r>
        <r>
          <rPr>
            <sz val="9"/>
            <color indexed="81"/>
            <rFont val="Tahoma"/>
            <family val="2"/>
            <charset val="204"/>
          </rPr>
          <t xml:space="preserve">Данный блок позволяет прикинуть варианты развития через показатели.
В режиме фактов вы можете прикинуть, что было бы к текущему моменту, если бы показатели были другими.
В режиме прогнозов вы сможете просчитать потенциальную выгоду от определенных показателей к концу месяца.
</t>
        </r>
      </text>
    </comment>
    <comment ref="T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Блок декомпозиция цели на основе воронки
</t>
        </r>
        <r>
          <rPr>
            <sz val="9"/>
            <color indexed="81"/>
            <rFont val="Tahoma"/>
            <family val="2"/>
            <charset val="204"/>
          </rPr>
          <t>Поставьте вашу цель в ячейке пятой строки, соответствующей выбранном месяцу
Индикатор-спидометр сообщает вам о том, насколько вы близки к цели. Стрелочка показывает фактическое количество денег (на основе чистой прибыли). Закрашенная область внутри полукруга - это прогнозируемые деньги на конец месяца. Светофор сообщает о ваших темпах на основе прогноза к концу месяца.
Раскрывая замочки, вы можете узнать конкретное значение одного из показателей для достижения нужной суммы денег. (Другие показатели при этом остаются неизменными и считаются по факту).</t>
        </r>
      </text>
    </comment>
  </commentList>
</comments>
</file>

<file path=xl/sharedStrings.xml><?xml version="1.0" encoding="utf-8"?>
<sst xmlns="http://schemas.openxmlformats.org/spreadsheetml/2006/main" count="1163" uniqueCount="254">
  <si>
    <t>Клики</t>
  </si>
  <si>
    <t>Заявки</t>
  </si>
  <si>
    <t>Встречи</t>
  </si>
  <si>
    <t>Продажи</t>
  </si>
  <si>
    <t>Выручка</t>
  </si>
  <si>
    <t>затраты</t>
  </si>
  <si>
    <t>Директ</t>
  </si>
  <si>
    <t>Adwords</t>
  </si>
  <si>
    <t>Вконтакте</t>
  </si>
  <si>
    <t>Поиск</t>
  </si>
  <si>
    <t>Прямые</t>
  </si>
  <si>
    <t>Ссылки</t>
  </si>
  <si>
    <t>Instagram</t>
  </si>
  <si>
    <t>…</t>
  </si>
  <si>
    <t>Итого</t>
  </si>
  <si>
    <t>CVкл-заявки</t>
  </si>
  <si>
    <t>CVзаяв-встр</t>
  </si>
  <si>
    <t>CVвстр-пр</t>
  </si>
  <si>
    <t>Цена клика</t>
  </si>
  <si>
    <t>Цена заявки</t>
  </si>
  <si>
    <t>Цена клиента</t>
  </si>
  <si>
    <t>ROI</t>
  </si>
  <si>
    <t>Средн чек</t>
  </si>
  <si>
    <t>прибыль (-затраты)</t>
  </si>
  <si>
    <t>Чистая прибыль</t>
  </si>
  <si>
    <t>Чистая прибыль (-доп)</t>
  </si>
  <si>
    <t>Описание</t>
  </si>
  <si>
    <t>фев</t>
  </si>
  <si>
    <t>мар</t>
  </si>
  <si>
    <t>янв</t>
  </si>
  <si>
    <t>апр</t>
  </si>
  <si>
    <t>май</t>
  </si>
  <si>
    <t>июл</t>
  </si>
  <si>
    <t>июн</t>
  </si>
  <si>
    <t>авг</t>
  </si>
  <si>
    <t>сен</t>
  </si>
  <si>
    <t>окт</t>
  </si>
  <si>
    <t>ноя</t>
  </si>
  <si>
    <t>дек</t>
  </si>
  <si>
    <t>Подберите цель, руб.</t>
  </si>
  <si>
    <t>Введите среднюю выручку с 1 продажи, руб.</t>
  </si>
  <si>
    <t>Введите сколько чистыми с 1 продажи, руб.</t>
  </si>
  <si>
    <t>Введите конверсию сайта в звонок/заявку %</t>
  </si>
  <si>
    <t>Введите конверсию договор-продажа %</t>
  </si>
  <si>
    <t>Введите CTR вашей рекламы %</t>
  </si>
  <si>
    <t>Введите цену клика, руб.</t>
  </si>
  <si>
    <t>% платного трафика</t>
  </si>
  <si>
    <t>Неделя</t>
  </si>
  <si>
    <t>Январь неделя 1</t>
  </si>
  <si>
    <t>Январь неделя 2</t>
  </si>
  <si>
    <t>Январь неделя 3</t>
  </si>
  <si>
    <t>Январь неделя 4</t>
  </si>
  <si>
    <t>Февраль неделя 1</t>
  </si>
  <si>
    <t>Февраль неделя 2</t>
  </si>
  <si>
    <t>Февраль неделя 3</t>
  </si>
  <si>
    <t>Февраль неделя 4</t>
  </si>
  <si>
    <t>Март неделя 1</t>
  </si>
  <si>
    <t>Март неделя 2</t>
  </si>
  <si>
    <t>Март неделя 3</t>
  </si>
  <si>
    <t>Март неделя 4</t>
  </si>
  <si>
    <t>Апрель неделя 1</t>
  </si>
  <si>
    <t>Апрель неделя 2</t>
  </si>
  <si>
    <t>Апрель неделя 3</t>
  </si>
  <si>
    <t>Апрель неделя 4</t>
  </si>
  <si>
    <t>Май неделя 1</t>
  </si>
  <si>
    <t>Май неделя 2</t>
  </si>
  <si>
    <t>Май неделя 3</t>
  </si>
  <si>
    <t>Май неделя 4</t>
  </si>
  <si>
    <t>Июнь неделя 1</t>
  </si>
  <si>
    <t>Июнь неделя 2</t>
  </si>
  <si>
    <t>Июнь неделя 3</t>
  </si>
  <si>
    <t>Июнь неделя 4</t>
  </si>
  <si>
    <t>Июль неделя 1</t>
  </si>
  <si>
    <t>Июль неделя 2</t>
  </si>
  <si>
    <t>Июль неделя 3</t>
  </si>
  <si>
    <t>Июль неделя 4</t>
  </si>
  <si>
    <t>Август неделя 1</t>
  </si>
  <si>
    <t>Август неделя 2</t>
  </si>
  <si>
    <t>Август неделя 3</t>
  </si>
  <si>
    <t>Август неделя 4</t>
  </si>
  <si>
    <t>Сентябрь неделя 1</t>
  </si>
  <si>
    <t>Сентябрь неделя 2</t>
  </si>
  <si>
    <t>Сентябрь неделя 3</t>
  </si>
  <si>
    <t>Сентябрь неделя 4</t>
  </si>
  <si>
    <t>Октябрь неделя 1</t>
  </si>
  <si>
    <t>Октябрь неделя 2</t>
  </si>
  <si>
    <t>Октябрь неделя 3</t>
  </si>
  <si>
    <t>Октябрь неделя 4</t>
  </si>
  <si>
    <t>Ноябрь неделя 1</t>
  </si>
  <si>
    <t>Ноябрь неделя 2</t>
  </si>
  <si>
    <t>Ноябрь неделя 3</t>
  </si>
  <si>
    <t>Ноябрь неделя 4</t>
  </si>
  <si>
    <t>Декабрь неделя 1</t>
  </si>
  <si>
    <t>Декабрь неделя 2</t>
  </si>
  <si>
    <t>Декабрь неделя 3</t>
  </si>
  <si>
    <t>Декабрь неделя 4</t>
  </si>
  <si>
    <t>№</t>
  </si>
  <si>
    <t>Месяц</t>
  </si>
  <si>
    <t>Выберите неделю:</t>
  </si>
  <si>
    <t>Текущая неделя:</t>
  </si>
  <si>
    <t>add</t>
  </si>
  <si>
    <t>пр</t>
  </si>
  <si>
    <t>Итого:</t>
  </si>
  <si>
    <t>Показатель: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</si>
  <si>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</si>
  <si>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</si>
  <si>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</si>
  <si>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</si>
  <si>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</si>
  <si>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</si>
  <si>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</si>
  <si>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</si>
  <si>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</si>
  <si>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</si>
  <si>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</si>
  <si>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</si>
  <si>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Показатели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</si>
  <si>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</si>
  <si>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</si>
  <si>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</si>
  <si>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</si>
  <si>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</si>
  <si>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</si>
  <si>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</si>
  <si>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</si>
  <si>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</si>
  <si>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</si>
  <si>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</si>
  <si>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Значение</t>
  </si>
  <si>
    <t>х</t>
  </si>
  <si>
    <t>Динамика</t>
  </si>
  <si>
    <t>Выберите месяц:</t>
  </si>
  <si>
    <t>д</t>
  </si>
  <si>
    <t>Реклама</t>
  </si>
  <si>
    <t>Прочие затраты</t>
  </si>
  <si>
    <t>Показатель</t>
  </si>
  <si>
    <t>∆</t>
  </si>
  <si>
    <t>Введите конверсию заявка-договор %</t>
  </si>
  <si>
    <t>Комментарий</t>
  </si>
  <si>
    <t>Янв</t>
  </si>
  <si>
    <t>Фев</t>
  </si>
  <si>
    <t>Мар</t>
  </si>
  <si>
    <t>Апр</t>
  </si>
  <si>
    <t>Июн</t>
  </si>
  <si>
    <t>Июл</t>
  </si>
  <si>
    <t>Авг</t>
  </si>
  <si>
    <t>Сен</t>
  </si>
  <si>
    <t>Окт</t>
  </si>
  <si>
    <t>Ноя</t>
  </si>
  <si>
    <t>Дек</t>
  </si>
  <si>
    <t>Факт</t>
  </si>
  <si>
    <t>Цель</t>
  </si>
  <si>
    <t>1 нед</t>
  </si>
  <si>
    <t>2 нед</t>
  </si>
  <si>
    <t>3 нед</t>
  </si>
  <si>
    <t>4 нед</t>
  </si>
  <si>
    <t>Прозрачно</t>
  </si>
  <si>
    <t>Красный</t>
  </si>
  <si>
    <t>Желтый</t>
  </si>
  <si>
    <t>Зеленый</t>
  </si>
  <si>
    <t>Значения</t>
  </si>
  <si>
    <t>% плана</t>
  </si>
  <si>
    <t>Ваших темпов пока недостаточно, чтобы дойти до цели</t>
  </si>
  <si>
    <t>Вам нужно ускориться для достижения вашей цели</t>
  </si>
  <si>
    <t>Ваших темпов хватает, скорее всего вы достигните вашей цели</t>
  </si>
  <si>
    <t>Январь неделя 2 (11-17 янв.)</t>
  </si>
  <si>
    <t>Январь неделя 1 (01-10 янв.)</t>
  </si>
  <si>
    <t>Январь неделя 3 (18-24 янв.)</t>
  </si>
  <si>
    <t>Январь неделя 4 (25-31 янв.)</t>
  </si>
  <si>
    <t>Февраль неделя 1 (01-07 фев.)</t>
  </si>
  <si>
    <t>Февраль неделя 2 (08-14 фев.)</t>
  </si>
  <si>
    <t>Февраль неделя 3 (15-21 фев.)</t>
  </si>
  <si>
    <t>Февраль неделя 4 (22-29 фев.)</t>
  </si>
  <si>
    <t>Март неделя 1 (01-06 мар.)</t>
  </si>
  <si>
    <t>Март неделя 2 (07-13 мар.)</t>
  </si>
  <si>
    <t>Март неделя 3 (14-20 мар.)</t>
  </si>
  <si>
    <t>Март неделя 4 (21-31 мар.)</t>
  </si>
  <si>
    <t>Апрель неделя 1 (01-10 апр.)</t>
  </si>
  <si>
    <t>Апрель неделя 2 (11-17 апр.)</t>
  </si>
  <si>
    <t>Апрель неделя 3 (18-24 апр.)</t>
  </si>
  <si>
    <t>Апрель неделя 4 (25-30 апр.)</t>
  </si>
  <si>
    <t>Май неделя 1 (01-08 мая)</t>
  </si>
  <si>
    <t>Май неделя 2 (09-15 мая)</t>
  </si>
  <si>
    <t>Май неделя 3 (16-22 мая)</t>
  </si>
  <si>
    <t>Май неделя 4 (23-31 мая)</t>
  </si>
  <si>
    <t>Июнь неделя 1 (01-05 июн.)</t>
  </si>
  <si>
    <t>Июнь неделя 2 (06-12 июн.)</t>
  </si>
  <si>
    <t>Июнь неделя 3 (13-19 июн.)</t>
  </si>
  <si>
    <t>Июнь неделя 4 (20-3 июн.)</t>
  </si>
  <si>
    <t>Июль неделя 1 (01-10 июл.)</t>
  </si>
  <si>
    <t>Июль неделя 2 (11-17 июл.)</t>
  </si>
  <si>
    <t>Июль неделя 3 (18-24 июл.)</t>
  </si>
  <si>
    <t>Июль неделя 4 (25-1 июл.)</t>
  </si>
  <si>
    <t>Август неделя 1 (01-07 авг.)</t>
  </si>
  <si>
    <t>Август неделя 2 (08-14 авг.)</t>
  </si>
  <si>
    <t>Август неделя 3 (15-21 авг.)</t>
  </si>
  <si>
    <t>Август неделя 4 (22-31 авг.)</t>
  </si>
  <si>
    <t>Сентябрь неделя 1 (01-11 сен.)</t>
  </si>
  <si>
    <t>Сентябрь неделя 2 (12-18 сен.)</t>
  </si>
  <si>
    <t>Сентябрь неделя 3 (19-25 сен.)</t>
  </si>
  <si>
    <t>Сентябрь неделя 4 (26-30 сен.)</t>
  </si>
  <si>
    <t>Октябрь неделя 1 (01-09 окт.)</t>
  </si>
  <si>
    <t>Октябрь неделя 2 (10-16 окт.)</t>
  </si>
  <si>
    <t>Октябрь неделя 3 (17-23 окт.)</t>
  </si>
  <si>
    <t>Октябрь неделя 4 (24-31 окт.)</t>
  </si>
  <si>
    <t>Ноябрь неделя 1 (01-06 ноя.)</t>
  </si>
  <si>
    <t>Ноябрь неделя 2 (07-13 ноя.)</t>
  </si>
  <si>
    <t>Ноябрь неделя 3 (14-20 ноя.)</t>
  </si>
  <si>
    <t>Ноябрь неделя 4 (21-30 ноя.)</t>
  </si>
  <si>
    <t>Декабрь неделя 1 (01-11 дек.)</t>
  </si>
  <si>
    <t>Декабрь неделя 2 (12-18 дек.)</t>
  </si>
  <si>
    <t>Декабрь неделя 3 (19-25 дек.)</t>
  </si>
  <si>
    <t>Декабрь неделя 4 (26-31 дек.)</t>
  </si>
  <si>
    <t xml:space="preserve">
</t>
  </si>
  <si>
    <t>Дп. Затр.</t>
  </si>
  <si>
    <t>Результат</t>
  </si>
  <si>
    <t>Поиск способов достижения целевых показателей за счет изменения входных параметров</t>
  </si>
  <si>
    <t>Cумма</t>
  </si>
  <si>
    <t>Дополнит. затраты</t>
  </si>
  <si>
    <t>пр2</t>
  </si>
  <si>
    <t>д2</t>
  </si>
  <si>
    <t>CVклики-заявки</t>
  </si>
  <si>
    <t>CVзаявки-встречи</t>
  </si>
  <si>
    <t>CVвстречи-продажи</t>
  </si>
  <si>
    <t>Средний чек</t>
  </si>
  <si>
    <t>CVклили-заявки</t>
  </si>
  <si>
    <t>Прибыль (-затраты)</t>
  </si>
  <si>
    <t>Фактические данные месяца</t>
  </si>
  <si>
    <t>Анализ "что будет если"</t>
  </si>
  <si>
    <t>Декомпозиция цели на основе воронки</t>
  </si>
  <si>
    <t>Декомпозиция цели на основе свободных данных</t>
  </si>
  <si>
    <t>Затраты</t>
  </si>
  <si>
    <t xml:space="preserve">               Учет данных</t>
  </si>
  <si>
    <t>Сводные данные за месяц</t>
  </si>
  <si>
    <t>Учет доп. затрат</t>
  </si>
  <si>
    <t xml:space="preserve">Динамика показателей за месяц/ воронка продаж </t>
  </si>
  <si>
    <t>CVкл-зая</t>
  </si>
  <si>
    <t>CVзая-встр</t>
  </si>
  <si>
    <t>CVвстр-прод</t>
  </si>
  <si>
    <t>Воронка продаж 5.0 ©</t>
  </si>
  <si>
    <t>Автор: Евгений Новиков (http://vk.com/truejacko)</t>
  </si>
  <si>
    <t>Данный файл распространяется только через официальную группу vk.com/voronkaprodazh или сайт voronkaexcel.ru</t>
  </si>
  <si>
    <t>Если вы оказались жертвой пиратов, прошу вас перечислить удобную сумму в качестве благодарности за данный продукт автору: яндекс 410011194833509 Webmoney: R304185449904, Z627412013302 QIWI: +79851745518</t>
  </si>
  <si>
    <t>Вы можете заказать индивидуальную таблицу или доработки текущей, обратившись на мейл info@kursdirect.ru</t>
  </si>
  <si>
    <t>Другие продукты от автора воронки продаж 5.0</t>
  </si>
  <si>
    <t>http://kurstargeting.ru</t>
  </si>
  <si>
    <t>http://kursdirect.ru</t>
  </si>
  <si>
    <t>Официальная группа воронки продаж</t>
  </si>
  <si>
    <t>http://vk.com/voronkaprodazh</t>
  </si>
  <si>
    <t>Правила использования</t>
  </si>
  <si>
    <t>Данный файл является авторским продуктом, все права принадлежат автору. Новиков Е.А. (vk.com/truejacko). Распространение и передача воронки продаж 5.0 третим лицам запрещена. В случае обнаружения случаев незаконного распространения - просьба обратиться к автору, написав на мейл info@kursdirect.ru</t>
  </si>
  <si>
    <t>Закажите скайп-консультацию по ведению воронки от автора (цена 1500р). Пишите на мейл или ВК.</t>
  </si>
  <si>
    <t>Week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</si>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</sst>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"/>
    <numFmt numFmtId="165" formatCode="0.0"/>
    <numFmt numFmtId="166" formatCode="#,##0&quot;р.&quot;"/>
    <numFmt numFmtId="167" formatCode="#\ ##0\р."/>
    <numFmt numFmtId="168" formatCode="0.0%"/>
    <numFmt numFmtId="169" formatCode="#,##0.0"/>
    <numFmt numFmtId="170" formatCode="#\ ##0.00\р."/>
    <numFmt numFmtId="171" formatCode="#,##0.00&quot;р.&quot;"/>
  </numFmts>
  <fonts count="6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2"/>
      <color theme="4"/>
      <name val="Cambria"/>
      <family val="1"/>
      <charset val="204"/>
      <scheme val="major"/>
    </font>
    <font>
      <b/>
      <sz val="10"/>
      <color theme="0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b/>
      <sz val="11"/>
      <color indexed="63"/>
      <name val="Arial"/>
      <family val="2"/>
      <charset val="204"/>
    </font>
    <font>
      <sz val="11"/>
      <color indexed="2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7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1"/>
      <color rgb="FFCC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1"/>
      <color theme="2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i/>
      <u/>
      <sz val="14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theme="0"/>
      <name val="Cambria"/>
      <family val="1"/>
      <charset val="204"/>
      <scheme val="major"/>
    </font>
    <font>
      <b/>
      <sz val="18"/>
      <color rgb="FFFF000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9"/>
      <color theme="4" tint="0.7999816888943144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u/>
      <sz val="10"/>
      <color theme="0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0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FFF7D9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/>
      <bottom style="medium">
        <color theme="1"/>
      </bottom>
      <diagonal/>
    </border>
    <border>
      <left style="hair">
        <color theme="0" tint="-0.499984740745262"/>
      </left>
      <right/>
      <top style="medium">
        <color theme="1" tint="4.9989318521683403E-2"/>
      </top>
      <bottom style="medium">
        <color theme="1"/>
      </bottom>
      <diagonal/>
    </border>
    <border>
      <left/>
      <right/>
      <top style="medium">
        <color theme="1" tint="4.9989318521683403E-2"/>
      </top>
      <bottom style="medium">
        <color theme="1"/>
      </bottom>
      <diagonal/>
    </border>
    <border>
      <left/>
      <right style="hair">
        <color theme="0" tint="-0.499984740745262"/>
      </right>
      <top style="medium">
        <color theme="1" tint="4.9989318521683403E-2"/>
      </top>
      <bottom style="medium">
        <color theme="1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9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medium">
        <color theme="9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theme="9"/>
      </top>
      <bottom style="medium">
        <color theme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theme="9"/>
      </top>
      <bottom style="medium">
        <color auto="1"/>
      </bottom>
      <diagonal/>
    </border>
    <border>
      <left style="dashed">
        <color theme="9"/>
      </left>
      <right style="dashed">
        <color theme="0" tint="-0.24994659260841701"/>
      </right>
      <top style="medium">
        <color theme="9"/>
      </top>
      <bottom style="medium">
        <color theme="1"/>
      </bottom>
      <diagonal/>
    </border>
    <border>
      <left style="dashed">
        <color theme="0" tint="-0.24994659260841701"/>
      </left>
      <right style="dashed">
        <color theme="9"/>
      </right>
      <top style="medium">
        <color theme="9"/>
      </top>
      <bottom style="medium">
        <color theme="1"/>
      </bottom>
      <diagonal/>
    </border>
    <border>
      <left style="dashed">
        <color theme="9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9"/>
      </right>
      <top/>
      <bottom style="dashed">
        <color theme="0" tint="-0.24994659260841701"/>
      </bottom>
      <diagonal/>
    </border>
    <border>
      <left style="dashed">
        <color theme="9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9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9"/>
      </left>
      <right style="dashed">
        <color theme="0" tint="-0.24994659260841701"/>
      </right>
      <top style="dashed">
        <color theme="0" tint="-0.24994659260841701"/>
      </top>
      <bottom style="medium">
        <color theme="9"/>
      </bottom>
      <diagonal/>
    </border>
    <border>
      <left style="dashed">
        <color theme="0" tint="-0.24994659260841701"/>
      </left>
      <right style="dashed">
        <color theme="9"/>
      </right>
      <top style="dashed">
        <color theme="0" tint="-0.24994659260841701"/>
      </top>
      <bottom style="medium">
        <color theme="9"/>
      </bottom>
      <diagonal/>
    </border>
    <border>
      <left style="dashed">
        <color theme="9"/>
      </left>
      <right style="dashed">
        <color theme="0" tint="-0.24994659260841701"/>
      </right>
      <top style="medium">
        <color theme="9"/>
      </top>
      <bottom style="medium">
        <color auto="1"/>
      </bottom>
      <diagonal/>
    </border>
    <border>
      <left style="dashed">
        <color theme="0" tint="-0.24994659260841701"/>
      </left>
      <right style="dashed">
        <color theme="9"/>
      </right>
      <top style="medium">
        <color theme="9"/>
      </top>
      <bottom style="medium">
        <color auto="1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9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9"/>
      </top>
      <bottom style="medium">
        <color auto="1"/>
      </bottom>
      <diagonal/>
    </border>
    <border>
      <left style="dashed">
        <color theme="9"/>
      </left>
      <right/>
      <top style="medium">
        <color theme="9"/>
      </top>
      <bottom/>
      <diagonal/>
    </border>
    <border>
      <left style="dotted">
        <color theme="0" tint="-0.24994659260841701"/>
      </left>
      <right style="dashed">
        <color theme="9"/>
      </right>
      <top style="medium">
        <color theme="9"/>
      </top>
      <bottom style="medium">
        <color auto="1"/>
      </bottom>
      <diagonal/>
    </border>
    <border>
      <left style="dashed">
        <color theme="9"/>
      </left>
      <right/>
      <top/>
      <bottom/>
      <diagonal/>
    </border>
    <border>
      <left style="dotted">
        <color theme="0" tint="-0.24994659260841701"/>
      </left>
      <right style="dashed">
        <color theme="9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ashed">
        <color theme="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ashed">
        <color theme="9"/>
      </left>
      <right/>
      <top/>
      <bottom style="medium">
        <color theme="9"/>
      </bottom>
      <diagonal/>
    </border>
    <border>
      <left style="dotted">
        <color theme="0" tint="-0.24994659260841701"/>
      </left>
      <right style="dashed">
        <color theme="9"/>
      </right>
      <top style="dotted">
        <color theme="0" tint="-0.24994659260841701"/>
      </top>
      <bottom style="medium">
        <color theme="9"/>
      </bottom>
      <diagonal/>
    </border>
    <border>
      <left style="dashed">
        <color auto="1"/>
      </left>
      <right style="dotted">
        <color theme="0" tint="-0.24994659260841701"/>
      </right>
      <top style="medium">
        <color theme="9"/>
      </top>
      <bottom style="medium">
        <color auto="1"/>
      </bottom>
      <diagonal/>
    </border>
    <border>
      <left style="dashed">
        <color auto="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ashed">
        <color auto="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ashed">
        <color auto="1"/>
      </left>
      <right style="dotted">
        <color theme="0" tint="-0.24994659260841701"/>
      </right>
      <top style="dotted">
        <color theme="0" tint="-0.24994659260841701"/>
      </top>
      <bottom style="medium">
        <color theme="9"/>
      </bottom>
      <diagonal/>
    </border>
    <border>
      <left/>
      <right/>
      <top/>
      <bottom style="thick">
        <color theme="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thin">
        <color rgb="FFFF5050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ck">
        <color rgb="FFFF5050"/>
      </top>
      <bottom style="thin">
        <color auto="1"/>
      </bottom>
      <diagonal/>
    </border>
    <border>
      <left/>
      <right style="dashed">
        <color theme="0" tint="-0.24994659260841701"/>
      </right>
      <top style="thick">
        <color rgb="FFFF5050"/>
      </top>
      <bottom style="thin">
        <color auto="1"/>
      </bottom>
      <diagonal/>
    </border>
    <border>
      <left style="dashed">
        <color theme="0" tint="-0.24994659260841701"/>
      </left>
      <right/>
      <top style="thick">
        <color rgb="FFFF5050"/>
      </top>
      <bottom style="thin">
        <color auto="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thin">
        <color rgb="FFFF5050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thin">
        <color rgb="FFFF5050"/>
      </bottom>
      <diagonal/>
    </border>
    <border>
      <left/>
      <right/>
      <top/>
      <bottom style="thin">
        <color theme="7"/>
      </bottom>
      <diagonal/>
    </border>
    <border>
      <left/>
      <right/>
      <top style="thick">
        <color theme="7"/>
      </top>
      <bottom/>
      <diagonal/>
    </border>
    <border>
      <left style="thin">
        <color theme="7"/>
      </left>
      <right/>
      <top style="thick">
        <color theme="7"/>
      </top>
      <bottom style="dashed">
        <color theme="7"/>
      </bottom>
      <diagonal/>
    </border>
    <border>
      <left/>
      <right/>
      <top style="thick">
        <color theme="7"/>
      </top>
      <bottom style="dashed">
        <color theme="7"/>
      </bottom>
      <diagonal/>
    </border>
    <border>
      <left style="thin">
        <color theme="7"/>
      </left>
      <right/>
      <top style="dashed">
        <color theme="7"/>
      </top>
      <bottom style="dashed">
        <color theme="7"/>
      </bottom>
      <diagonal/>
    </border>
    <border>
      <left/>
      <right/>
      <top style="dashed">
        <color theme="7"/>
      </top>
      <bottom style="dashed">
        <color theme="7"/>
      </bottom>
      <diagonal/>
    </border>
    <border>
      <left/>
      <right style="dashed">
        <color theme="7"/>
      </right>
      <top style="thick">
        <color theme="7"/>
      </top>
      <bottom/>
      <diagonal/>
    </border>
    <border>
      <left/>
      <right style="dashed">
        <color theme="7"/>
      </right>
      <top/>
      <bottom/>
      <diagonal/>
    </border>
    <border>
      <left/>
      <right/>
      <top style="dashed">
        <color theme="7"/>
      </top>
      <bottom style="thin">
        <color theme="7"/>
      </bottom>
      <diagonal/>
    </border>
    <border>
      <left/>
      <right style="dashed">
        <color theme="7"/>
      </right>
      <top/>
      <bottom style="thin">
        <color theme="7"/>
      </bottom>
      <diagonal/>
    </border>
    <border>
      <left style="thin">
        <color theme="7"/>
      </left>
      <right/>
      <top style="dashed">
        <color theme="7"/>
      </top>
      <bottom style="thin">
        <color theme="7"/>
      </bottom>
      <diagonal/>
    </border>
    <border>
      <left/>
      <right/>
      <top style="thick">
        <color theme="8"/>
      </top>
      <bottom style="thick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hair">
        <color auto="1"/>
      </left>
      <right style="hair">
        <color auto="1"/>
      </right>
      <top style="thick">
        <color theme="0"/>
      </top>
      <bottom style="medium">
        <color indexed="64"/>
      </bottom>
      <diagonal/>
    </border>
    <border>
      <left style="dashed">
        <color rgb="FF70BDD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dashed">
        <color rgb="FF70BDD2"/>
      </right>
      <top style="medium">
        <color indexed="64"/>
      </top>
      <bottom style="hair">
        <color theme="0" tint="-0.499984740745262"/>
      </bottom>
      <diagonal/>
    </border>
    <border>
      <left style="dashed">
        <color rgb="FF70BDD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dashed">
        <color rgb="FF70BDD2"/>
      </right>
      <top style="hair">
        <color theme="0" tint="-0.499984740745262"/>
      </top>
      <bottom style="hair">
        <color theme="0" tint="-0.499984740745262"/>
      </bottom>
      <diagonal/>
    </border>
    <border>
      <left style="dashed">
        <color rgb="FF70BDD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dashed">
        <color rgb="FF70BDD2"/>
      </right>
      <top style="hair">
        <color theme="0" tint="-0.499984740745262"/>
      </top>
      <bottom/>
      <diagonal/>
    </border>
    <border>
      <left style="dashed">
        <color rgb="FF70BDD2"/>
      </left>
      <right/>
      <top style="thin">
        <color theme="8"/>
      </top>
      <bottom style="thin">
        <color theme="8"/>
      </bottom>
      <diagonal/>
    </border>
    <border>
      <left/>
      <right style="dashed">
        <color rgb="FF70BDD2"/>
      </right>
      <top style="thin">
        <color theme="8"/>
      </top>
      <bottom style="thin">
        <color theme="8"/>
      </bottom>
      <diagonal/>
    </border>
    <border>
      <left style="dashed">
        <color rgb="FF70BDD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dashed">
        <color rgb="FF70BDD2"/>
      </right>
      <top/>
      <bottom style="hair">
        <color theme="0" tint="-0.499984740745262"/>
      </bottom>
      <diagonal/>
    </border>
    <border>
      <left style="dashed">
        <color rgb="FF70BDD2"/>
      </left>
      <right style="hair">
        <color theme="0" tint="-0.499984740745262"/>
      </right>
      <top style="hair">
        <color theme="0" tint="-0.499984740745262"/>
      </top>
      <bottom style="thick">
        <color theme="8"/>
      </bottom>
      <diagonal/>
    </border>
    <border>
      <left style="hair">
        <color theme="0" tint="-0.499984740745262"/>
      </left>
      <right style="dashed">
        <color rgb="FF70BDD2"/>
      </right>
      <top style="hair">
        <color theme="0" tint="-0.499984740745262"/>
      </top>
      <bottom style="thick">
        <color theme="8"/>
      </bottom>
      <diagonal/>
    </border>
    <border>
      <left style="dashed">
        <color rgb="FF70BDD2"/>
      </left>
      <right style="hair">
        <color auto="1"/>
      </right>
      <top style="thick">
        <color theme="0"/>
      </top>
      <bottom style="medium">
        <color indexed="64"/>
      </bottom>
      <diagonal/>
    </border>
    <border>
      <left style="hair">
        <color auto="1"/>
      </left>
      <right style="dashed">
        <color rgb="FF70BDD2"/>
      </right>
      <top style="thick">
        <color theme="0"/>
      </top>
      <bottom style="medium">
        <color indexed="64"/>
      </bottom>
      <diagonal/>
    </border>
    <border>
      <left style="hair">
        <color theme="0" tint="-0.499984740745262"/>
      </left>
      <right/>
      <top/>
      <bottom style="medium">
        <color theme="1"/>
      </bottom>
      <diagonal/>
    </border>
    <border>
      <left/>
      <right style="hair">
        <color theme="0" tint="-0.499984740745262"/>
      </right>
      <top/>
      <bottom style="medium">
        <color theme="1"/>
      </bottom>
      <diagonal/>
    </border>
    <border>
      <left style="hair">
        <color theme="0" tint="-0.499984740745262"/>
      </left>
      <right/>
      <top style="medium">
        <color theme="1" tint="4.9989318521683403E-2"/>
      </top>
      <bottom style="thick">
        <color theme="8"/>
      </bottom>
      <diagonal/>
    </border>
    <border>
      <left/>
      <right/>
      <top style="medium">
        <color theme="1" tint="4.9989318521683403E-2"/>
      </top>
      <bottom style="thick">
        <color theme="8"/>
      </bottom>
      <diagonal/>
    </border>
    <border>
      <left/>
      <right style="hair">
        <color theme="0" tint="-0.499984740745262"/>
      </right>
      <top style="medium">
        <color theme="1" tint="4.9989318521683403E-2"/>
      </top>
      <bottom style="thick">
        <color theme="8"/>
      </bottom>
      <diagonal/>
    </border>
    <border>
      <left style="hair">
        <color theme="0" tint="-0.24994659260841701"/>
      </left>
      <right style="hair">
        <color indexed="64"/>
      </right>
      <top/>
      <bottom style="medium">
        <color theme="1"/>
      </bottom>
      <diagonal/>
    </border>
    <border>
      <left/>
      <right style="hair">
        <color theme="0" tint="-0.24994659260841701"/>
      </right>
      <top/>
      <bottom style="medium">
        <color theme="1"/>
      </bottom>
      <diagonal/>
    </border>
    <border>
      <left style="hair">
        <color theme="0" tint="-0.24994659260841701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24994659260841701"/>
      </right>
      <top/>
      <bottom style="hair">
        <color theme="0" tint="-0.499984740745262"/>
      </bottom>
      <diagonal/>
    </border>
    <border>
      <left style="hair">
        <color theme="0" tint="-0.24994659260841701"/>
      </left>
      <right style="hair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2499465926084170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24994659260841701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24994659260841701"/>
      </right>
      <top style="hair">
        <color theme="0" tint="-0.499984740745262"/>
      </top>
      <bottom/>
      <diagonal/>
    </border>
    <border>
      <left style="hair">
        <color theme="0" tint="-0.24994659260841701"/>
      </left>
      <right style="hair">
        <color theme="0" tint="-0.499984740745262"/>
      </right>
      <top style="medium">
        <color theme="1"/>
      </top>
      <bottom style="thick">
        <color theme="8"/>
      </bottom>
      <diagonal/>
    </border>
    <border>
      <left style="hair">
        <color theme="0" tint="-0.499984740745262"/>
      </left>
      <right style="hair">
        <color theme="0" tint="-0.24994659260841701"/>
      </right>
      <top style="medium">
        <color theme="1"/>
      </top>
      <bottom style="thick">
        <color theme="8"/>
      </bottom>
      <diagonal/>
    </border>
    <border>
      <left style="hair">
        <color theme="0" tint="-0.24994659260841701"/>
      </left>
      <right style="hair">
        <color theme="0" tint="-0.499984740745262"/>
      </right>
      <top style="thick">
        <color theme="0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24994659260841701"/>
      </right>
      <top style="thick">
        <color theme="0"/>
      </top>
      <bottom style="thin">
        <color auto="1"/>
      </bottom>
      <diagonal/>
    </border>
    <border>
      <left style="dashed">
        <color theme="8"/>
      </left>
      <right/>
      <top/>
      <bottom/>
      <diagonal/>
    </border>
    <border>
      <left/>
      <right style="dashed">
        <color theme="8"/>
      </right>
      <top/>
      <bottom/>
      <diagonal/>
    </border>
    <border>
      <left style="dashed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dashed">
        <color theme="8"/>
      </right>
      <top/>
      <bottom style="thick">
        <color theme="8"/>
      </bottom>
      <diagonal/>
    </border>
  </borders>
  <cellStyleXfs count="6">
    <xf numFmtId="0" fontId="0" fillId="0" borderId="0"/>
    <xf numFmtId="0" fontId="24" fillId="5" borderId="2" applyNumberFormat="0" applyAlignment="0" applyProtection="0"/>
    <xf numFmtId="0" fontId="25" fillId="6" borderId="0" applyNumberFormat="0" applyBorder="0" applyAlignment="0" applyProtection="0"/>
    <xf numFmtId="9" fontId="26" fillId="0" borderId="0" applyFont="0" applyFill="0" applyBorder="0" applyAlignment="0" applyProtection="0"/>
    <xf numFmtId="0" fontId="27" fillId="7" borderId="0" applyNumberFormat="0" applyBorder="0" applyAlignment="0" applyProtection="0"/>
    <xf numFmtId="0" fontId="50" fillId="0" borderId="0" applyNumberFormat="0" applyFill="0" applyBorder="0" applyAlignment="0" applyProtection="0"/>
  </cellStyleXfs>
  <cellXfs count="408">
    <xf numFmtId="0" fontId="0" fillId="0" borderId="0" xfId="0"/>
    <xf numFmtId="0" fontId="0" fillId="0" borderId="1" xfId="0" applyBorder="1"/>
    <xf numFmtId="0" fontId="4" fillId="2" borderId="1" xfId="0" applyFont="1" applyFill="1" applyBorder="1"/>
    <xf numFmtId="0" fontId="0" fillId="0" borderId="0" xfId="0" applyBorder="1"/>
    <xf numFmtId="0" fontId="0" fillId="0" borderId="0" xfId="0" applyProtection="1">
      <protection hidden="1"/>
    </xf>
    <xf numFmtId="17" fontId="0" fillId="0" borderId="0" xfId="0" applyNumberFormat="1"/>
    <xf numFmtId="10" fontId="4" fillId="2" borderId="1" xfId="0" applyNumberFormat="1" applyFont="1" applyFill="1" applyBorder="1"/>
    <xf numFmtId="3" fontId="0" fillId="0" borderId="1" xfId="0" applyNumberFormat="1" applyBorder="1"/>
    <xf numFmtId="3" fontId="4" fillId="2" borderId="1" xfId="0" applyNumberFormat="1" applyFont="1" applyFill="1" applyBorder="1"/>
    <xf numFmtId="0" fontId="0" fillId="4" borderId="1" xfId="0" applyFill="1" applyBorder="1"/>
    <xf numFmtId="0" fontId="9" fillId="0" borderId="0" xfId="0" applyFont="1" applyAlignment="1">
      <alignment horizontal="center"/>
    </xf>
    <xf numFmtId="0" fontId="12" fillId="3" borderId="1" xfId="0" applyFont="1" applyFill="1" applyBorder="1"/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6" fillId="0" borderId="0" xfId="0" applyFont="1" applyAlignment="1">
      <alignment vertical="center"/>
    </xf>
    <xf numFmtId="3" fontId="20" fillId="0" borderId="0" xfId="0" applyNumberFormat="1" applyFont="1" applyAlignment="1" applyProtection="1">
      <alignment horizontal="center"/>
      <protection locked="0" hidden="1"/>
    </xf>
    <xf numFmtId="3" fontId="20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3" fontId="10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12" fillId="0" borderId="0" xfId="0" applyFont="1" applyProtection="1">
      <protection hidden="1"/>
    </xf>
    <xf numFmtId="0" fontId="23" fillId="0" borderId="0" xfId="0" applyFont="1" applyAlignment="1" applyProtection="1">
      <alignment vertical="center" wrapText="1"/>
      <protection hidden="1"/>
    </xf>
    <xf numFmtId="3" fontId="20" fillId="0" borderId="0" xfId="0" applyNumberFormat="1" applyFont="1" applyAlignment="1" applyProtection="1">
      <alignment horizontal="left"/>
      <protection locked="0" hidden="1"/>
    </xf>
    <xf numFmtId="0" fontId="0" fillId="0" borderId="0" xfId="0" applyAlignment="1" applyProtection="1">
      <alignment horizontal="center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10" fillId="0" borderId="0" xfId="0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3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2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6" fontId="30" fillId="0" borderId="0" xfId="0" applyNumberFormat="1" applyFont="1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166" fontId="31" fillId="0" borderId="0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Fill="1"/>
    <xf numFmtId="3" fontId="19" fillId="0" borderId="0" xfId="0" applyNumberFormat="1" applyFont="1" applyAlignment="1" applyProtection="1">
      <alignment horizontal="center"/>
      <protection hidden="1"/>
    </xf>
    <xf numFmtId="0" fontId="34" fillId="0" borderId="0" xfId="0" applyFont="1" applyFill="1" applyBorder="1"/>
    <xf numFmtId="0" fontId="0" fillId="0" borderId="0" xfId="0" applyFill="1"/>
    <xf numFmtId="0" fontId="10" fillId="0" borderId="0" xfId="0" applyFont="1" applyFill="1" applyBorder="1"/>
    <xf numFmtId="0" fontId="35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center"/>
    </xf>
    <xf numFmtId="0" fontId="28" fillId="0" borderId="0" xfId="0" applyFont="1" applyFill="1" applyBorder="1"/>
    <xf numFmtId="3" fontId="28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166" fontId="28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0" fontId="19" fillId="0" borderId="0" xfId="0" applyNumberFormat="1" applyFont="1" applyFill="1" applyBorder="1"/>
    <xf numFmtId="10" fontId="10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/>
    <xf numFmtId="3" fontId="10" fillId="0" borderId="0" xfId="0" applyNumberFormat="1" applyFont="1" applyFill="1" applyBorder="1"/>
    <xf numFmtId="0" fontId="23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12" fillId="0" borderId="0" xfId="0" applyFont="1" applyBorder="1" applyProtection="1">
      <protection hidden="1"/>
    </xf>
    <xf numFmtId="0" fontId="19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0" fontId="12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39" fillId="10" borderId="7" xfId="0" applyFont="1" applyFill="1" applyBorder="1" applyAlignment="1" applyProtection="1">
      <alignment horizontal="center" vertical="center"/>
      <protection hidden="1"/>
    </xf>
    <xf numFmtId="2" fontId="39" fillId="10" borderId="7" xfId="0" applyNumberFormat="1" applyFont="1" applyFill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166" fontId="38" fillId="0" borderId="5" xfId="0" applyNumberFormat="1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166" fontId="38" fillId="0" borderId="6" xfId="0" applyNumberFormat="1" applyFont="1" applyBorder="1" applyAlignment="1" applyProtection="1">
      <alignment horizontal="right" vertical="center"/>
      <protection hidden="1"/>
    </xf>
    <xf numFmtId="0" fontId="10" fillId="0" borderId="0" xfId="0" applyFont="1"/>
    <xf numFmtId="0" fontId="10" fillId="9" borderId="0" xfId="0" applyFont="1" applyFill="1" applyBorder="1"/>
    <xf numFmtId="166" fontId="40" fillId="0" borderId="12" xfId="0" applyNumberFormat="1" applyFont="1" applyBorder="1" applyAlignment="1" applyProtection="1">
      <alignment horizontal="right" vertical="center"/>
      <protection hidden="1"/>
    </xf>
    <xf numFmtId="166" fontId="40" fillId="0" borderId="14" xfId="0" applyNumberFormat="1" applyFont="1" applyBorder="1" applyAlignment="1" applyProtection="1">
      <alignment horizontal="right" vertical="center"/>
      <protection hidden="1"/>
    </xf>
    <xf numFmtId="2" fontId="39" fillId="10" borderId="16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center" vertical="center"/>
      <protection locked="0" hidden="1"/>
    </xf>
    <xf numFmtId="0" fontId="29" fillId="0" borderId="0" xfId="0" applyFont="1" applyBorder="1" applyAlignment="1" applyProtection="1">
      <alignment horizontal="right" vertical="center"/>
      <protection hidden="1"/>
    </xf>
    <xf numFmtId="0" fontId="29" fillId="0" borderId="0" xfId="0" applyFont="1" applyFill="1" applyBorder="1" applyAlignment="1" applyProtection="1">
      <alignment horizontal="right"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166" fontId="19" fillId="0" borderId="0" xfId="0" applyNumberFormat="1" applyFont="1" applyFill="1" applyAlignment="1" applyProtection="1">
      <alignment horizontal="center" vertical="center"/>
      <protection locked="0" hidden="1"/>
    </xf>
    <xf numFmtId="0" fontId="29" fillId="0" borderId="0" xfId="0" applyFont="1" applyFill="1" applyBorder="1" applyAlignment="1" applyProtection="1">
      <alignment horizontal="left" vertical="center"/>
      <protection hidden="1"/>
    </xf>
    <xf numFmtId="166" fontId="29" fillId="0" borderId="0" xfId="0" applyNumberFormat="1" applyFont="1" applyFill="1" applyAlignment="1" applyProtection="1">
      <alignment vertical="center"/>
      <protection hidden="1"/>
    </xf>
    <xf numFmtId="9" fontId="19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3" fontId="10" fillId="0" borderId="0" xfId="0" applyNumberFormat="1" applyFont="1" applyFill="1" applyProtection="1">
      <protection hidden="1"/>
    </xf>
    <xf numFmtId="0" fontId="19" fillId="0" borderId="0" xfId="0" applyFont="1" applyBorder="1" applyAlignment="1" applyProtection="1">
      <alignment horizontal="center" vertical="center"/>
      <protection locked="0" hidden="1"/>
    </xf>
    <xf numFmtId="166" fontId="10" fillId="0" borderId="0" xfId="0" applyNumberFormat="1" applyFont="1" applyFill="1" applyBorder="1" applyProtection="1">
      <protection hidden="1"/>
    </xf>
    <xf numFmtId="166" fontId="10" fillId="0" borderId="0" xfId="0" applyNumberFormat="1" applyFont="1" applyFill="1" applyProtection="1">
      <protection hidden="1"/>
    </xf>
    <xf numFmtId="2" fontId="10" fillId="0" borderId="0" xfId="0" applyNumberFormat="1" applyFont="1" applyFill="1" applyProtection="1">
      <protection hidden="1"/>
    </xf>
    <xf numFmtId="1" fontId="10" fillId="0" borderId="0" xfId="0" applyNumberFormat="1" applyFont="1" applyFill="1" applyProtection="1">
      <protection hidden="1"/>
    </xf>
    <xf numFmtId="165" fontId="10" fillId="0" borderId="0" xfId="0" applyNumberFormat="1" applyFont="1" applyFill="1" applyProtection="1"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right"/>
      <protection locked="0"/>
    </xf>
    <xf numFmtId="166" fontId="0" fillId="0" borderId="1" xfId="0" applyNumberFormat="1" applyFill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166" fontId="0" fillId="3" borderId="17" xfId="0" applyNumberFormat="1" applyFill="1" applyBorder="1" applyAlignment="1" applyProtection="1">
      <alignment horizontal="right"/>
      <protection locked="0"/>
    </xf>
    <xf numFmtId="166" fontId="0" fillId="0" borderId="18" xfId="0" applyNumberFormat="1" applyBorder="1" applyAlignment="1" applyProtection="1">
      <alignment horizontal="right"/>
      <protection locked="0"/>
    </xf>
    <xf numFmtId="166" fontId="0" fillId="3" borderId="19" xfId="0" applyNumberFormat="1" applyFill="1" applyBorder="1" applyAlignment="1" applyProtection="1">
      <alignment horizontal="right"/>
      <protection locked="0"/>
    </xf>
    <xf numFmtId="166" fontId="4" fillId="0" borderId="15" xfId="0" applyNumberFormat="1" applyFont="1" applyFill="1" applyBorder="1" applyAlignment="1">
      <alignment horizontal="center" vertical="center"/>
    </xf>
    <xf numFmtId="9" fontId="4" fillId="0" borderId="15" xfId="0" applyNumberFormat="1" applyFont="1" applyFill="1" applyBorder="1" applyAlignment="1">
      <alignment horizontal="center" vertical="center"/>
    </xf>
    <xf numFmtId="166" fontId="4" fillId="0" borderId="20" xfId="0" applyNumberFormat="1" applyFont="1" applyFill="1" applyBorder="1" applyAlignment="1">
      <alignment horizontal="center" vertical="center"/>
    </xf>
    <xf numFmtId="166" fontId="4" fillId="0" borderId="21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9" fontId="4" fillId="0" borderId="21" xfId="0" applyNumberFormat="1" applyFont="1" applyFill="1" applyBorder="1" applyAlignment="1">
      <alignment horizontal="center" vertical="center"/>
    </xf>
    <xf numFmtId="10" fontId="4" fillId="0" borderId="20" xfId="0" applyNumberFormat="1" applyFont="1" applyFill="1" applyBorder="1" applyAlignment="1">
      <alignment horizontal="center" vertical="center"/>
    </xf>
    <xf numFmtId="10" fontId="4" fillId="0" borderId="15" xfId="0" applyNumberFormat="1" applyFont="1" applyFill="1" applyBorder="1" applyAlignment="1">
      <alignment horizontal="center" vertical="center"/>
    </xf>
    <xf numFmtId="10" fontId="4" fillId="0" borderId="21" xfId="0" applyNumberFormat="1" applyFont="1" applyFill="1" applyBorder="1" applyAlignment="1">
      <alignment horizontal="center" vertical="center"/>
    </xf>
    <xf numFmtId="10" fontId="0" fillId="4" borderId="1" xfId="0" applyNumberFormat="1" applyFill="1" applyBorder="1"/>
    <xf numFmtId="3" fontId="4" fillId="0" borderId="20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9" fontId="4" fillId="0" borderId="20" xfId="0" applyNumberFormat="1" applyFont="1" applyFill="1" applyBorder="1" applyAlignment="1">
      <alignment horizontal="center" vertical="center"/>
    </xf>
    <xf numFmtId="0" fontId="11" fillId="12" borderId="26" xfId="0" applyFont="1" applyFill="1" applyBorder="1" applyAlignment="1">
      <alignment horizontal="center" vertical="center"/>
    </xf>
    <xf numFmtId="168" fontId="12" fillId="0" borderId="23" xfId="0" applyNumberFormat="1" applyFont="1" applyBorder="1" applyAlignment="1" applyProtection="1">
      <alignment horizontal="right"/>
      <protection hidden="1"/>
    </xf>
    <xf numFmtId="166" fontId="38" fillId="0" borderId="23" xfId="0" applyNumberFormat="1" applyFont="1" applyBorder="1" applyAlignment="1" applyProtection="1">
      <alignment vertical="center"/>
      <protection hidden="1"/>
    </xf>
    <xf numFmtId="168" fontId="12" fillId="11" borderId="23" xfId="0" applyNumberFormat="1" applyFont="1" applyFill="1" applyBorder="1" applyAlignment="1" applyProtection="1">
      <alignment horizontal="right"/>
      <protection hidden="1"/>
    </xf>
    <xf numFmtId="166" fontId="38" fillId="11" borderId="23" xfId="0" applyNumberFormat="1" applyFont="1" applyFill="1" applyBorder="1" applyAlignment="1" applyProtection="1">
      <alignment vertical="center"/>
      <protection hidden="1"/>
    </xf>
    <xf numFmtId="168" fontId="12" fillId="3" borderId="23" xfId="0" applyNumberFormat="1" applyFont="1" applyFill="1" applyBorder="1" applyAlignment="1" applyProtection="1">
      <alignment horizontal="right"/>
      <protection hidden="1"/>
    </xf>
    <xf numFmtId="166" fontId="38" fillId="3" borderId="23" xfId="0" applyNumberFormat="1" applyFont="1" applyFill="1" applyBorder="1" applyAlignment="1" applyProtection="1">
      <alignment vertical="center"/>
      <protection hidden="1"/>
    </xf>
    <xf numFmtId="9" fontId="14" fillId="12" borderId="24" xfId="0" applyNumberFormat="1" applyFont="1" applyFill="1" applyBorder="1" applyAlignment="1" applyProtection="1">
      <alignment horizontal="right"/>
      <protection hidden="1"/>
    </xf>
    <xf numFmtId="166" fontId="6" fillId="12" borderId="24" xfId="0" applyNumberFormat="1" applyFont="1" applyFill="1" applyBorder="1" applyAlignment="1" applyProtection="1">
      <alignment horizontal="center" vertical="center"/>
      <protection hidden="1"/>
    </xf>
    <xf numFmtId="168" fontId="12" fillId="0" borderId="25" xfId="0" applyNumberFormat="1" applyFont="1" applyBorder="1" applyAlignment="1" applyProtection="1">
      <alignment horizontal="right"/>
      <protection hidden="1"/>
    </xf>
    <xf numFmtId="166" fontId="38" fillId="0" borderId="25" xfId="0" applyNumberFormat="1" applyFont="1" applyBorder="1" applyAlignment="1" applyProtection="1">
      <alignment vertical="center"/>
      <protection hidden="1"/>
    </xf>
    <xf numFmtId="0" fontId="11" fillId="12" borderId="27" xfId="0" applyFont="1" applyFill="1" applyBorder="1" applyAlignment="1">
      <alignment horizontal="center" vertical="center"/>
    </xf>
    <xf numFmtId="0" fontId="11" fillId="12" borderId="28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2" fillId="0" borderId="38" xfId="0" applyFont="1" applyFill="1" applyBorder="1" applyProtection="1">
      <protection hidden="1"/>
    </xf>
    <xf numFmtId="0" fontId="14" fillId="0" borderId="38" xfId="0" applyFont="1" applyFill="1" applyBorder="1" applyAlignment="1" applyProtection="1">
      <alignment vertical="center"/>
      <protection hidden="1"/>
    </xf>
    <xf numFmtId="0" fontId="14" fillId="0" borderId="38" xfId="0" applyFont="1" applyFill="1" applyBorder="1" applyAlignment="1" applyProtection="1">
      <alignment horizontal="right" vertical="center"/>
      <protection hidden="1"/>
    </xf>
    <xf numFmtId="0" fontId="12" fillId="0" borderId="44" xfId="0" applyFont="1" applyFill="1" applyBorder="1" applyProtection="1">
      <protection hidden="1"/>
    </xf>
    <xf numFmtId="0" fontId="12" fillId="0" borderId="46" xfId="0" applyFont="1" applyFill="1" applyBorder="1" applyProtection="1">
      <protection hidden="1"/>
    </xf>
    <xf numFmtId="166" fontId="30" fillId="0" borderId="55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17" fillId="0" borderId="0" xfId="0" applyFont="1" applyBorder="1" applyAlignment="1">
      <alignment vertical="center"/>
    </xf>
    <xf numFmtId="166" fontId="38" fillId="11" borderId="25" xfId="0" applyNumberFormat="1" applyFont="1" applyFill="1" applyBorder="1" applyAlignment="1" applyProtection="1">
      <alignment horizontal="right"/>
      <protection hidden="1"/>
    </xf>
    <xf numFmtId="0" fontId="46" fillId="13" borderId="58" xfId="0" applyFont="1" applyFill="1" applyBorder="1" applyAlignment="1" applyProtection="1">
      <alignment horizontal="center" vertical="center"/>
      <protection hidden="1"/>
    </xf>
    <xf numFmtId="0" fontId="46" fillId="13" borderId="57" xfId="0" applyFont="1" applyFill="1" applyBorder="1" applyAlignment="1" applyProtection="1">
      <alignment horizontal="center" vertical="center"/>
      <protection hidden="1"/>
    </xf>
    <xf numFmtId="0" fontId="38" fillId="11" borderId="60" xfId="0" applyFont="1" applyFill="1" applyBorder="1" applyProtection="1">
      <protection hidden="1"/>
    </xf>
    <xf numFmtId="0" fontId="38" fillId="11" borderId="62" xfId="0" applyFont="1" applyFill="1" applyBorder="1" applyProtection="1"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166" fontId="10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68" xfId="0" applyFont="1" applyFill="1" applyBorder="1" applyAlignment="1" applyProtection="1">
      <alignment horizontal="right" vertical="center" wrapText="1"/>
      <protection hidden="1"/>
    </xf>
    <xf numFmtId="166" fontId="10" fillId="0" borderId="69" xfId="0" applyNumberFormat="1" applyFont="1" applyFill="1" applyBorder="1" applyAlignment="1" applyProtection="1">
      <alignment horizontal="center" vertical="center" wrapText="1"/>
      <protection hidden="1"/>
    </xf>
    <xf numFmtId="9" fontId="10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69" xfId="0" applyFont="1" applyFill="1" applyBorder="1" applyAlignment="1" applyProtection="1">
      <alignment horizontal="center" vertical="center" wrapText="1"/>
      <protection hidden="1"/>
    </xf>
    <xf numFmtId="0" fontId="0" fillId="0" borderId="65" xfId="0" applyBorder="1" applyProtection="1">
      <protection hidden="1"/>
    </xf>
    <xf numFmtId="0" fontId="0" fillId="0" borderId="70" xfId="0" applyBorder="1" applyProtection="1">
      <protection hidden="1"/>
    </xf>
    <xf numFmtId="0" fontId="0" fillId="0" borderId="71" xfId="0" applyBorder="1" applyProtection="1">
      <protection hidden="1"/>
    </xf>
    <xf numFmtId="166" fontId="0" fillId="0" borderId="0" xfId="0" applyNumberFormat="1" applyBorder="1" applyProtection="1">
      <protection hidden="1"/>
    </xf>
    <xf numFmtId="9" fontId="10" fillId="0" borderId="7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4" xfId="0" applyBorder="1" applyProtection="1">
      <protection hidden="1"/>
    </xf>
    <xf numFmtId="0" fontId="0" fillId="0" borderId="73" xfId="0" applyBorder="1" applyProtection="1">
      <protection hidden="1"/>
    </xf>
    <xf numFmtId="0" fontId="7" fillId="0" borderId="74" xfId="0" applyFont="1" applyFill="1" applyBorder="1" applyAlignment="1" applyProtection="1">
      <alignment horizontal="right" vertical="center" wrapText="1"/>
      <protection hidden="1"/>
    </xf>
    <xf numFmtId="0" fontId="3" fillId="0" borderId="66" xfId="0" applyFont="1" applyFill="1" applyBorder="1" applyAlignment="1" applyProtection="1">
      <alignment horizontal="right" vertical="center" wrapText="1"/>
      <protection hidden="1"/>
    </xf>
    <xf numFmtId="0" fontId="3" fillId="0" borderId="68" xfId="0" applyFont="1" applyFill="1" applyBorder="1" applyAlignment="1" applyProtection="1">
      <alignment horizontal="right" vertical="center" wrapText="1"/>
      <protection hidden="1"/>
    </xf>
    <xf numFmtId="168" fontId="4" fillId="0" borderId="20" xfId="0" applyNumberFormat="1" applyFont="1" applyFill="1" applyBorder="1" applyAlignment="1">
      <alignment horizontal="center" vertical="center"/>
    </xf>
    <xf numFmtId="168" fontId="4" fillId="0" borderId="15" xfId="0" applyNumberFormat="1" applyFont="1" applyFill="1" applyBorder="1" applyAlignment="1">
      <alignment horizontal="center" vertical="center"/>
    </xf>
    <xf numFmtId="168" fontId="4" fillId="0" borderId="21" xfId="0" applyNumberFormat="1" applyFont="1" applyFill="1" applyBorder="1" applyAlignment="1">
      <alignment horizontal="center" vertical="center"/>
    </xf>
    <xf numFmtId="0" fontId="38" fillId="0" borderId="0" xfId="0" applyFont="1" applyFill="1" applyBorder="1" applyProtection="1">
      <protection hidden="1"/>
    </xf>
    <xf numFmtId="2" fontId="28" fillId="0" borderId="0" xfId="0" applyNumberFormat="1" applyFont="1" applyFill="1" applyBorder="1" applyAlignment="1" applyProtection="1">
      <alignment horizontal="center" vertical="center"/>
      <protection hidden="1"/>
    </xf>
    <xf numFmtId="169" fontId="28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protection hidden="1"/>
    </xf>
    <xf numFmtId="0" fontId="52" fillId="0" borderId="0" xfId="5" applyFont="1" applyBorder="1" applyProtection="1">
      <protection hidden="1"/>
    </xf>
    <xf numFmtId="0" fontId="51" fillId="0" borderId="0" xfId="0" applyFont="1" applyBorder="1" applyProtection="1">
      <protection hidden="1"/>
    </xf>
    <xf numFmtId="0" fontId="52" fillId="0" borderId="0" xfId="5" applyFont="1" applyBorder="1" applyAlignment="1" applyProtection="1">
      <alignment vertical="top"/>
      <protection hidden="1"/>
    </xf>
    <xf numFmtId="0" fontId="53" fillId="0" borderId="0" xfId="0" applyFont="1" applyProtection="1">
      <protection hidden="1"/>
    </xf>
    <xf numFmtId="0" fontId="52" fillId="0" borderId="0" xfId="5" applyFont="1" applyAlignment="1" applyProtection="1">
      <alignment vertical="top"/>
      <protection hidden="1"/>
    </xf>
    <xf numFmtId="0" fontId="54" fillId="0" borderId="0" xfId="0" applyFont="1" applyAlignment="1" applyProtection="1">
      <alignment horizontal="left"/>
      <protection hidden="1"/>
    </xf>
    <xf numFmtId="0" fontId="55" fillId="0" borderId="0" xfId="0" applyFont="1" applyBorder="1" applyProtection="1">
      <protection hidden="1"/>
    </xf>
    <xf numFmtId="0" fontId="56" fillId="0" borderId="0" xfId="0" applyFont="1" applyBorder="1" applyProtection="1">
      <protection hidden="1"/>
    </xf>
    <xf numFmtId="0" fontId="55" fillId="0" borderId="0" xfId="0" applyFont="1" applyFill="1" applyBorder="1" applyProtection="1">
      <protection hidden="1"/>
    </xf>
    <xf numFmtId="0" fontId="57" fillId="0" borderId="0" xfId="0" applyFont="1" applyAlignment="1" applyProtection="1">
      <alignment horizontal="left" vertical="top"/>
      <protection hidden="1"/>
    </xf>
    <xf numFmtId="0" fontId="10" fillId="0" borderId="0" xfId="0" applyFont="1" applyFill="1" applyBorder="1" applyProtection="1">
      <protection locked="0"/>
    </xf>
    <xf numFmtId="0" fontId="10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169" fontId="12" fillId="0" borderId="42" xfId="0" applyNumberFormat="1" applyFont="1" applyBorder="1" applyAlignment="1" applyProtection="1">
      <alignment horizontal="right" vertical="center"/>
      <protection hidden="1"/>
    </xf>
    <xf numFmtId="1" fontId="12" fillId="0" borderId="47" xfId="0" applyNumberFormat="1" applyFont="1" applyBorder="1" applyAlignment="1" applyProtection="1">
      <alignment horizontal="center" vertical="center"/>
      <protection hidden="1"/>
    </xf>
    <xf numFmtId="169" fontId="12" fillId="0" borderId="40" xfId="0" applyNumberFormat="1" applyFont="1" applyBorder="1" applyAlignment="1" applyProtection="1">
      <alignment horizontal="right" vertical="center"/>
      <protection hidden="1"/>
    </xf>
    <xf numFmtId="1" fontId="12" fillId="0" borderId="48" xfId="0" applyNumberFormat="1" applyFont="1" applyBorder="1" applyAlignment="1" applyProtection="1">
      <alignment horizontal="center" vertical="center"/>
      <protection hidden="1"/>
    </xf>
    <xf numFmtId="10" fontId="12" fillId="11" borderId="40" xfId="0" applyNumberFormat="1" applyFont="1" applyFill="1" applyBorder="1" applyAlignment="1" applyProtection="1">
      <alignment horizontal="right" vertical="center"/>
      <protection hidden="1"/>
    </xf>
    <xf numFmtId="1" fontId="12" fillId="11" borderId="48" xfId="0" applyNumberFormat="1" applyFont="1" applyFill="1" applyBorder="1" applyAlignment="1" applyProtection="1">
      <alignment horizontal="center" vertical="center"/>
      <protection hidden="1"/>
    </xf>
    <xf numFmtId="166" fontId="12" fillId="0" borderId="40" xfId="0" applyNumberFormat="1" applyFont="1" applyBorder="1" applyAlignment="1" applyProtection="1">
      <alignment horizontal="right" vertical="center"/>
      <protection hidden="1"/>
    </xf>
    <xf numFmtId="1" fontId="12" fillId="0" borderId="48" xfId="0" applyNumberFormat="1" applyFont="1" applyFill="1" applyBorder="1" applyAlignment="1" applyProtection="1">
      <alignment horizontal="center" vertical="center"/>
      <protection hidden="1"/>
    </xf>
    <xf numFmtId="166" fontId="12" fillId="3" borderId="40" xfId="0" applyNumberFormat="1" applyFont="1" applyFill="1" applyBorder="1" applyAlignment="1" applyProtection="1">
      <alignment horizontal="right" vertical="center"/>
      <protection hidden="1"/>
    </xf>
    <xf numFmtId="1" fontId="12" fillId="3" borderId="48" xfId="0" applyNumberFormat="1" applyFont="1" applyFill="1" applyBorder="1" applyAlignment="1" applyProtection="1">
      <alignment horizontal="center" vertical="center"/>
      <protection hidden="1"/>
    </xf>
    <xf numFmtId="166" fontId="14" fillId="12" borderId="41" xfId="0" applyNumberFormat="1" applyFont="1" applyFill="1" applyBorder="1" applyAlignment="1" applyProtection="1">
      <alignment horizontal="right" vertical="center"/>
      <protection hidden="1"/>
    </xf>
    <xf numFmtId="1" fontId="12" fillId="12" borderId="50" xfId="0" applyNumberFormat="1" applyFont="1" applyFill="1" applyBorder="1" applyAlignment="1" applyProtection="1">
      <alignment horizontal="center" vertical="center"/>
      <protection hidden="1"/>
    </xf>
    <xf numFmtId="3" fontId="12" fillId="0" borderId="31" xfId="0" applyNumberFormat="1" applyFont="1" applyBorder="1" applyAlignment="1" applyProtection="1">
      <alignment horizontal="right" vertical="center"/>
      <protection hidden="1"/>
    </xf>
    <xf numFmtId="3" fontId="12" fillId="0" borderId="33" xfId="0" applyNumberFormat="1" applyFont="1" applyBorder="1" applyAlignment="1" applyProtection="1">
      <alignment horizontal="right" vertical="center"/>
      <protection hidden="1"/>
    </xf>
    <xf numFmtId="10" fontId="12" fillId="11" borderId="33" xfId="0" applyNumberFormat="1" applyFont="1" applyFill="1" applyBorder="1" applyAlignment="1" applyProtection="1">
      <alignment horizontal="right" vertical="center"/>
      <protection hidden="1"/>
    </xf>
    <xf numFmtId="166" fontId="12" fillId="0" borderId="33" xfId="0" applyNumberFormat="1" applyFont="1" applyBorder="1" applyAlignment="1" applyProtection="1">
      <alignment horizontal="right" vertical="center"/>
      <protection hidden="1"/>
    </xf>
    <xf numFmtId="166" fontId="12" fillId="3" borderId="33" xfId="0" applyNumberFormat="1" applyFont="1" applyFill="1" applyBorder="1" applyAlignment="1" applyProtection="1">
      <alignment horizontal="right" vertical="center"/>
      <protection hidden="1"/>
    </xf>
    <xf numFmtId="166" fontId="14" fillId="12" borderId="35" xfId="0" applyNumberFormat="1" applyFont="1" applyFill="1" applyBorder="1" applyAlignment="1" applyProtection="1">
      <alignment horizontal="right" vertical="center"/>
      <protection hidden="1"/>
    </xf>
    <xf numFmtId="0" fontId="12" fillId="0" borderId="30" xfId="0" applyFont="1" applyBorder="1" applyAlignment="1" applyProtection="1">
      <alignment vertical="center"/>
      <protection hidden="1"/>
    </xf>
    <xf numFmtId="3" fontId="12" fillId="0" borderId="25" xfId="0" applyNumberFormat="1" applyFont="1" applyBorder="1" applyAlignment="1" applyProtection="1">
      <alignment horizontal="right" vertical="center"/>
      <protection hidden="1"/>
    </xf>
    <xf numFmtId="0" fontId="12" fillId="0" borderId="32" xfId="0" applyFont="1" applyBorder="1" applyAlignment="1" applyProtection="1">
      <alignment vertical="center"/>
      <protection hidden="1"/>
    </xf>
    <xf numFmtId="3" fontId="12" fillId="0" borderId="23" xfId="0" applyNumberFormat="1" applyFont="1" applyBorder="1" applyAlignment="1" applyProtection="1">
      <alignment horizontal="right" vertical="center"/>
      <protection hidden="1"/>
    </xf>
    <xf numFmtId="0" fontId="12" fillId="11" borderId="32" xfId="0" applyFont="1" applyFill="1" applyBorder="1" applyAlignment="1" applyProtection="1">
      <alignment vertical="center"/>
      <protection hidden="1"/>
    </xf>
    <xf numFmtId="10" fontId="12" fillId="11" borderId="23" xfId="0" applyNumberFormat="1" applyFont="1" applyFill="1" applyBorder="1" applyAlignment="1" applyProtection="1">
      <alignment horizontal="right" vertical="center"/>
      <protection hidden="1"/>
    </xf>
    <xf numFmtId="166" fontId="12" fillId="0" borderId="23" xfId="0" applyNumberFormat="1" applyFont="1" applyBorder="1" applyAlignment="1" applyProtection="1">
      <alignment horizontal="right" vertical="center"/>
      <protection hidden="1"/>
    </xf>
    <xf numFmtId="0" fontId="12" fillId="0" borderId="32" xfId="0" applyFont="1" applyFill="1" applyBorder="1" applyAlignment="1" applyProtection="1">
      <alignment vertical="center"/>
      <protection hidden="1"/>
    </xf>
    <xf numFmtId="166" fontId="12" fillId="0" borderId="23" xfId="0" applyNumberFormat="1" applyFont="1" applyFill="1" applyBorder="1" applyAlignment="1" applyProtection="1">
      <alignment horizontal="right" vertical="center"/>
      <protection hidden="1"/>
    </xf>
    <xf numFmtId="0" fontId="12" fillId="3" borderId="32" xfId="0" applyFont="1" applyFill="1" applyBorder="1" applyAlignment="1" applyProtection="1">
      <alignment vertical="center"/>
      <protection hidden="1"/>
    </xf>
    <xf numFmtId="166" fontId="12" fillId="3" borderId="23" xfId="0" applyNumberFormat="1" applyFont="1" applyFill="1" applyBorder="1" applyAlignment="1" applyProtection="1">
      <alignment horizontal="right" vertical="center"/>
      <protection hidden="1"/>
    </xf>
    <xf numFmtId="0" fontId="14" fillId="12" borderId="34" xfId="0" applyFont="1" applyFill="1" applyBorder="1" applyProtection="1">
      <protection hidden="1"/>
    </xf>
    <xf numFmtId="166" fontId="14" fillId="12" borderId="24" xfId="0" applyNumberFormat="1" applyFont="1" applyFill="1" applyBorder="1" applyAlignment="1" applyProtection="1">
      <alignment horizontal="right" vertical="center"/>
      <protection hidden="1"/>
    </xf>
    <xf numFmtId="0" fontId="0" fillId="9" borderId="0" xfId="0" applyFill="1" applyProtection="1">
      <protection hidden="1"/>
    </xf>
    <xf numFmtId="0" fontId="0" fillId="0" borderId="0" xfId="0" applyFill="1" applyProtection="1">
      <protection hidden="1"/>
    </xf>
    <xf numFmtId="0" fontId="33" fillId="0" borderId="0" xfId="0" applyFont="1" applyFill="1" applyProtection="1"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Protection="1">
      <protection locked="0" hidden="1"/>
    </xf>
    <xf numFmtId="0" fontId="47" fillId="2" borderId="75" xfId="0" applyFont="1" applyFill="1" applyBorder="1" applyAlignment="1" applyProtection="1">
      <alignment horizontal="center"/>
      <protection hidden="1"/>
    </xf>
    <xf numFmtId="0" fontId="14" fillId="11" borderId="91" xfId="0" applyFont="1" applyFill="1" applyBorder="1" applyAlignment="1" applyProtection="1">
      <alignment horizontal="center"/>
      <protection hidden="1"/>
    </xf>
    <xf numFmtId="0" fontId="14" fillId="11" borderId="78" xfId="0" applyFont="1" applyFill="1" applyBorder="1" applyAlignment="1" applyProtection="1">
      <alignment horizontal="center"/>
      <protection hidden="1"/>
    </xf>
    <xf numFmtId="0" fontId="14" fillId="11" borderId="92" xfId="0" applyFont="1" applyFill="1" applyBorder="1" applyAlignment="1" applyProtection="1">
      <alignment horizontal="center"/>
      <protection hidden="1"/>
    </xf>
    <xf numFmtId="0" fontId="10" fillId="3" borderId="111" xfId="0" applyFont="1" applyFill="1" applyBorder="1" applyProtection="1">
      <protection hidden="1"/>
    </xf>
    <xf numFmtId="0" fontId="10" fillId="3" borderId="0" xfId="0" applyFont="1" applyFill="1" applyBorder="1" applyProtection="1">
      <protection locked="0"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2" fillId="11" borderId="79" xfId="0" applyFont="1" applyFill="1" applyBorder="1" applyAlignment="1" applyProtection="1">
      <alignment vertical="center"/>
      <protection hidden="1"/>
    </xf>
    <xf numFmtId="3" fontId="12" fillId="0" borderId="3" xfId="0" applyNumberFormat="1" applyFont="1" applyFill="1" applyBorder="1" applyAlignment="1" applyProtection="1">
      <alignment vertical="center"/>
      <protection hidden="1"/>
    </xf>
    <xf numFmtId="3" fontId="12" fillId="11" borderId="80" xfId="0" applyNumberFormat="1" applyFont="1" applyFill="1" applyBorder="1" applyAlignment="1" applyProtection="1">
      <alignment vertical="center"/>
      <protection hidden="1"/>
    </xf>
    <xf numFmtId="0" fontId="10" fillId="0" borderId="111" xfId="0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165" fontId="10" fillId="0" borderId="0" xfId="0" applyNumberFormat="1" applyFont="1" applyFill="1" applyBorder="1" applyProtection="1">
      <protection hidden="1"/>
    </xf>
    <xf numFmtId="0" fontId="0" fillId="0" borderId="112" xfId="0" applyFill="1" applyBorder="1" applyProtection="1">
      <protection hidden="1"/>
    </xf>
    <xf numFmtId="0" fontId="12" fillId="11" borderId="81" xfId="0" applyFont="1" applyFill="1" applyBorder="1" applyAlignment="1" applyProtection="1">
      <alignment vertical="center"/>
      <protection hidden="1"/>
    </xf>
    <xf numFmtId="3" fontId="12" fillId="0" borderId="4" xfId="0" applyNumberFormat="1" applyFont="1" applyFill="1" applyBorder="1" applyAlignment="1" applyProtection="1">
      <alignment vertical="center"/>
      <protection hidden="1"/>
    </xf>
    <xf numFmtId="3" fontId="12" fillId="11" borderId="82" xfId="0" applyNumberFormat="1" applyFont="1" applyFill="1" applyBorder="1" applyAlignment="1" applyProtection="1">
      <alignment vertical="center"/>
      <protection hidden="1"/>
    </xf>
    <xf numFmtId="170" fontId="10" fillId="0" borderId="0" xfId="0" applyNumberFormat="1" applyFont="1" applyFill="1" applyBorder="1" applyProtection="1">
      <protection hidden="1"/>
    </xf>
    <xf numFmtId="165" fontId="10" fillId="0" borderId="0" xfId="0" applyNumberFormat="1" applyFont="1" applyFill="1" applyBorder="1" applyAlignment="1" applyProtection="1">
      <alignment horizontal="left"/>
      <protection hidden="1"/>
    </xf>
    <xf numFmtId="166" fontId="12" fillId="0" borderId="4" xfId="0" applyNumberFormat="1" applyFont="1" applyFill="1" applyBorder="1" applyAlignment="1" applyProtection="1">
      <alignment vertical="center"/>
      <protection hidden="1"/>
    </xf>
    <xf numFmtId="166" fontId="12" fillId="11" borderId="82" xfId="0" applyNumberFormat="1" applyFont="1" applyFill="1" applyBorder="1" applyAlignment="1" applyProtection="1">
      <alignment vertical="center"/>
      <protection hidden="1"/>
    </xf>
    <xf numFmtId="0" fontId="12" fillId="11" borderId="83" xfId="0" applyFont="1" applyFill="1" applyBorder="1" applyAlignment="1" applyProtection="1">
      <alignment vertical="center"/>
      <protection hidden="1"/>
    </xf>
    <xf numFmtId="166" fontId="12" fillId="0" borderId="6" xfId="0" applyNumberFormat="1" applyFont="1" applyFill="1" applyBorder="1" applyAlignment="1" applyProtection="1">
      <alignment vertical="center"/>
      <protection hidden="1"/>
    </xf>
    <xf numFmtId="166" fontId="12" fillId="11" borderId="84" xfId="0" applyNumberFormat="1" applyFont="1" applyFill="1" applyBorder="1" applyAlignment="1" applyProtection="1">
      <alignment vertical="center"/>
      <protection hidden="1"/>
    </xf>
    <xf numFmtId="164" fontId="10" fillId="0" borderId="0" xfId="0" applyNumberFormat="1" applyFont="1" applyFill="1" applyBorder="1" applyProtection="1">
      <protection hidden="1"/>
    </xf>
    <xf numFmtId="0" fontId="0" fillId="3" borderId="85" xfId="0" applyFill="1" applyBorder="1" applyProtection="1">
      <protection hidden="1"/>
    </xf>
    <xf numFmtId="0" fontId="0" fillId="3" borderId="77" xfId="0" applyFill="1" applyBorder="1" applyProtection="1">
      <protection hidden="1"/>
    </xf>
    <xf numFmtId="0" fontId="0" fillId="3" borderId="86" xfId="0" applyFill="1" applyBorder="1" applyProtection="1">
      <protection hidden="1"/>
    </xf>
    <xf numFmtId="0" fontId="4" fillId="0" borderId="0" xfId="0" applyFont="1" applyFill="1" applyProtection="1">
      <protection hidden="1"/>
    </xf>
    <xf numFmtId="0" fontId="12" fillId="2" borderId="87" xfId="0" applyFont="1" applyFill="1" applyBorder="1" applyAlignment="1" applyProtection="1">
      <alignment vertical="center"/>
      <protection hidden="1"/>
    </xf>
    <xf numFmtId="10" fontId="12" fillId="2" borderId="5" xfId="0" applyNumberFormat="1" applyFont="1" applyFill="1" applyBorder="1" applyAlignment="1" applyProtection="1">
      <alignment vertical="center"/>
      <protection hidden="1"/>
    </xf>
    <xf numFmtId="10" fontId="12" fillId="2" borderId="88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Protection="1">
      <protection hidden="1"/>
    </xf>
    <xf numFmtId="164" fontId="19" fillId="0" borderId="0" xfId="0" applyNumberFormat="1" applyFont="1" applyFill="1" applyBorder="1" applyProtection="1">
      <protection hidden="1"/>
    </xf>
    <xf numFmtId="0" fontId="4" fillId="0" borderId="112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12" fillId="2" borderId="81" xfId="0" applyFont="1" applyFill="1" applyBorder="1" applyAlignment="1" applyProtection="1">
      <alignment vertical="center"/>
      <protection hidden="1"/>
    </xf>
    <xf numFmtId="10" fontId="12" fillId="2" borderId="4" xfId="0" applyNumberFormat="1" applyFont="1" applyFill="1" applyBorder="1" applyAlignment="1" applyProtection="1">
      <alignment vertical="center"/>
      <protection hidden="1"/>
    </xf>
    <xf numFmtId="10" fontId="12" fillId="2" borderId="82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Border="1" applyProtection="1">
      <protection hidden="1"/>
    </xf>
    <xf numFmtId="171" fontId="12" fillId="2" borderId="4" xfId="0" applyNumberFormat="1" applyFont="1" applyFill="1" applyBorder="1" applyAlignment="1" applyProtection="1">
      <alignment vertical="center"/>
      <protection hidden="1"/>
    </xf>
    <xf numFmtId="171" fontId="12" fillId="2" borderId="82" xfId="0" applyNumberFormat="1" applyFont="1" applyFill="1" applyBorder="1" applyAlignment="1" applyProtection="1">
      <alignment vertical="center"/>
      <protection hidden="1"/>
    </xf>
    <xf numFmtId="166" fontId="12" fillId="2" borderId="4" xfId="0" applyNumberFormat="1" applyFont="1" applyFill="1" applyBorder="1" applyAlignment="1" applyProtection="1">
      <alignment vertical="center"/>
      <protection hidden="1"/>
    </xf>
    <xf numFmtId="166" fontId="12" fillId="2" borderId="82" xfId="0" applyNumberFormat="1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9" fontId="12" fillId="2" borderId="4" xfId="0" applyNumberFormat="1" applyFont="1" applyFill="1" applyBorder="1" applyAlignment="1" applyProtection="1">
      <alignment vertical="center"/>
      <protection hidden="1"/>
    </xf>
    <xf numFmtId="9" fontId="12" fillId="2" borderId="82" xfId="0" applyNumberFormat="1" applyFont="1" applyFill="1" applyBorder="1" applyAlignment="1" applyProtection="1">
      <alignment vertical="center"/>
      <protection hidden="1"/>
    </xf>
    <xf numFmtId="0" fontId="12" fillId="2" borderId="89" xfId="0" applyFont="1" applyFill="1" applyBorder="1" applyAlignment="1" applyProtection="1">
      <alignment vertical="center"/>
      <protection hidden="1"/>
    </xf>
    <xf numFmtId="166" fontId="12" fillId="2" borderId="76" xfId="0" applyNumberFormat="1" applyFont="1" applyFill="1" applyBorder="1" applyAlignment="1" applyProtection="1">
      <alignment vertical="center"/>
      <protection hidden="1"/>
    </xf>
    <xf numFmtId="166" fontId="12" fillId="2" borderId="90" xfId="0" applyNumberFormat="1" applyFont="1" applyFill="1" applyBorder="1" applyAlignment="1" applyProtection="1">
      <alignment vertical="center"/>
      <protection hidden="1"/>
    </xf>
    <xf numFmtId="0" fontId="19" fillId="0" borderId="113" xfId="0" applyFont="1" applyFill="1" applyBorder="1" applyProtection="1">
      <protection hidden="1"/>
    </xf>
    <xf numFmtId="0" fontId="19" fillId="0" borderId="114" xfId="0" applyFont="1" applyFill="1" applyBorder="1" applyProtection="1">
      <protection hidden="1"/>
    </xf>
    <xf numFmtId="0" fontId="4" fillId="0" borderId="115" xfId="0" applyFont="1" applyFill="1" applyBorder="1" applyProtection="1">
      <protection hidden="1"/>
    </xf>
    <xf numFmtId="0" fontId="32" fillId="0" borderId="0" xfId="0" applyFont="1" applyFill="1" applyProtection="1">
      <protection hidden="1"/>
    </xf>
    <xf numFmtId="0" fontId="43" fillId="0" borderId="0" xfId="0" applyFont="1" applyFill="1" applyBorder="1" applyAlignment="1" applyProtection="1">
      <alignment vertical="top" wrapText="1"/>
      <protection hidden="1"/>
    </xf>
    <xf numFmtId="0" fontId="6" fillId="10" borderId="93" xfId="0" applyFont="1" applyFill="1" applyBorder="1" applyProtection="1">
      <protection hidden="1"/>
    </xf>
    <xf numFmtId="0" fontId="14" fillId="10" borderId="7" xfId="0" applyFont="1" applyFill="1" applyBorder="1" applyAlignment="1" applyProtection="1">
      <alignment horizontal="center"/>
      <protection hidden="1"/>
    </xf>
    <xf numFmtId="0" fontId="14" fillId="10" borderId="94" xfId="0" applyFont="1" applyFill="1" applyBorder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Alignment="1" applyProtection="1">
      <alignment vertical="center"/>
      <protection hidden="1"/>
    </xf>
    <xf numFmtId="0" fontId="12" fillId="11" borderId="5" xfId="0" applyFont="1" applyFill="1" applyBorder="1" applyAlignment="1" applyProtection="1">
      <alignment vertical="center"/>
      <protection hidden="1"/>
    </xf>
    <xf numFmtId="0" fontId="12" fillId="8" borderId="98" xfId="0" applyFont="1" applyFill="1" applyBorder="1" applyAlignment="1" applyProtection="1">
      <alignment horizontal="center" vertical="center"/>
      <protection hidden="1"/>
    </xf>
    <xf numFmtId="0" fontId="12" fillId="8" borderId="99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11" borderId="4" xfId="0" applyFont="1" applyFill="1" applyBorder="1" applyAlignment="1" applyProtection="1">
      <alignment vertical="center"/>
      <protection hidden="1"/>
    </xf>
    <xf numFmtId="0" fontId="12" fillId="0" borderId="100" xfId="0" applyFont="1" applyFill="1" applyBorder="1" applyAlignment="1" applyProtection="1">
      <alignment vertical="center"/>
      <protection hidden="1"/>
    </xf>
    <xf numFmtId="166" fontId="12" fillId="0" borderId="101" xfId="0" applyNumberFormat="1" applyFont="1" applyFill="1" applyBorder="1" applyAlignment="1" applyProtection="1">
      <alignment vertical="center"/>
      <protection hidden="1"/>
    </xf>
    <xf numFmtId="0" fontId="12" fillId="0" borderId="102" xfId="0" applyFont="1" applyFill="1" applyBorder="1" applyAlignment="1" applyProtection="1">
      <alignment vertical="center"/>
      <protection hidden="1"/>
    </xf>
    <xf numFmtId="166" fontId="12" fillId="0" borderId="103" xfId="0" applyNumberFormat="1" applyFont="1" applyFill="1" applyBorder="1" applyAlignment="1" applyProtection="1">
      <alignment vertical="center"/>
      <protection hidden="1"/>
    </xf>
    <xf numFmtId="0" fontId="12" fillId="0" borderId="104" xfId="0" applyFont="1" applyFill="1" applyBorder="1" applyAlignment="1" applyProtection="1">
      <alignment vertical="center"/>
      <protection hidden="1"/>
    </xf>
    <xf numFmtId="166" fontId="12" fillId="11" borderId="4" xfId="0" applyNumberFormat="1" applyFont="1" applyFill="1" applyBorder="1" applyAlignment="1" applyProtection="1">
      <alignment vertical="center"/>
      <protection hidden="1"/>
    </xf>
    <xf numFmtId="0" fontId="12" fillId="11" borderId="6" xfId="0" applyFont="1" applyFill="1" applyBorder="1" applyAlignment="1" applyProtection="1">
      <alignment vertical="center"/>
      <protection hidden="1"/>
    </xf>
    <xf numFmtId="166" fontId="12" fillId="11" borderId="6" xfId="0" applyNumberFormat="1" applyFont="1" applyFill="1" applyBorder="1" applyAlignment="1" applyProtection="1">
      <alignment vertical="center"/>
      <protection hidden="1"/>
    </xf>
    <xf numFmtId="0" fontId="0" fillId="0" borderId="8" xfId="0" applyFill="1" applyBorder="1" applyAlignment="1" applyProtection="1">
      <alignment vertical="center"/>
      <protection hidden="1"/>
    </xf>
    <xf numFmtId="0" fontId="0" fillId="0" borderId="9" xfId="0" applyFill="1" applyBorder="1" applyAlignment="1" applyProtection="1">
      <alignment vertical="center"/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12" fillId="2" borderId="5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2" borderId="4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 wrapText="1"/>
      <protection hidden="1"/>
    </xf>
    <xf numFmtId="0" fontId="12" fillId="2" borderId="6" xfId="0" applyFont="1" applyFill="1" applyBorder="1" applyAlignment="1" applyProtection="1">
      <alignment vertical="center"/>
      <protection hidden="1"/>
    </xf>
    <xf numFmtId="166" fontId="12" fillId="2" borderId="6" xfId="0" applyNumberFormat="1" applyFont="1" applyFill="1" applyBorder="1" applyAlignment="1" applyProtection="1">
      <alignment vertical="center"/>
      <protection hidden="1"/>
    </xf>
    <xf numFmtId="0" fontId="12" fillId="0" borderId="105" xfId="0" applyFont="1" applyFill="1" applyBorder="1" applyAlignment="1" applyProtection="1">
      <alignment vertical="center"/>
      <protection hidden="1"/>
    </xf>
    <xf numFmtId="166" fontId="12" fillId="0" borderId="106" xfId="0" applyNumberFormat="1" applyFont="1" applyFill="1" applyBorder="1" applyAlignment="1" applyProtection="1">
      <alignment vertical="center"/>
      <protection hidden="1"/>
    </xf>
    <xf numFmtId="0" fontId="14" fillId="8" borderId="95" xfId="0" applyFont="1" applyFill="1" applyBorder="1" applyAlignment="1" applyProtection="1">
      <alignment vertical="center"/>
      <protection hidden="1"/>
    </xf>
    <xf numFmtId="166" fontId="13" fillId="8" borderId="96" xfId="0" applyNumberFormat="1" applyFont="1" applyFill="1" applyBorder="1" applyAlignment="1" applyProtection="1">
      <alignment vertical="center"/>
      <protection hidden="1"/>
    </xf>
    <xf numFmtId="0" fontId="0" fillId="8" borderId="96" xfId="0" applyFill="1" applyBorder="1" applyAlignment="1" applyProtection="1">
      <alignment vertical="center"/>
      <protection hidden="1"/>
    </xf>
    <xf numFmtId="0" fontId="0" fillId="8" borderId="97" xfId="0" applyFill="1" applyBorder="1" applyAlignment="1" applyProtection="1">
      <alignment vertical="center"/>
      <protection hidden="1"/>
    </xf>
    <xf numFmtId="0" fontId="14" fillId="8" borderId="107" xfId="0" applyFont="1" applyFill="1" applyBorder="1" applyAlignment="1" applyProtection="1">
      <alignment vertical="center"/>
      <protection hidden="1"/>
    </xf>
    <xf numFmtId="166" fontId="11" fillId="8" borderId="108" xfId="0" applyNumberFormat="1" applyFont="1" applyFill="1" applyBorder="1" applyAlignment="1" applyProtection="1">
      <alignment vertical="center"/>
      <protection hidden="1"/>
    </xf>
    <xf numFmtId="0" fontId="43" fillId="0" borderId="0" xfId="0" applyFont="1" applyFill="1" applyProtection="1">
      <protection hidden="1"/>
    </xf>
    <xf numFmtId="166" fontId="38" fillId="0" borderId="56" xfId="0" applyNumberFormat="1" applyFont="1" applyBorder="1" applyAlignment="1" applyProtection="1">
      <alignment horizontal="right"/>
      <protection locked="0" hidden="1"/>
    </xf>
    <xf numFmtId="0" fontId="49" fillId="0" borderId="0" xfId="0" applyFont="1" applyFill="1" applyBorder="1" applyAlignment="1" applyProtection="1">
      <alignment horizontal="left" vertical="top" wrapText="1"/>
      <protection hidden="1"/>
    </xf>
    <xf numFmtId="0" fontId="14" fillId="10" borderId="109" xfId="0" applyFont="1" applyFill="1" applyBorder="1" applyAlignment="1" applyProtection="1">
      <alignment horizontal="center"/>
      <protection hidden="1"/>
    </xf>
    <xf numFmtId="0" fontId="14" fillId="10" borderId="11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4" fillId="8" borderId="96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44" fillId="2" borderId="75" xfId="0" applyFont="1" applyFill="1" applyBorder="1" applyAlignment="1" applyProtection="1">
      <alignment horizontal="center" vertical="center"/>
      <protection hidden="1"/>
    </xf>
    <xf numFmtId="0" fontId="48" fillId="2" borderId="75" xfId="0" applyFont="1" applyFill="1" applyBorder="1" applyAlignment="1" applyProtection="1">
      <alignment horizontal="center" vertical="center"/>
      <protection hidden="1"/>
    </xf>
    <xf numFmtId="0" fontId="44" fillId="2" borderId="75" xfId="0" applyFont="1" applyFill="1" applyBorder="1" applyAlignment="1" applyProtection="1">
      <alignment horizontal="center" vertical="center" wrapText="1"/>
      <protection hidden="1"/>
    </xf>
    <xf numFmtId="0" fontId="49" fillId="0" borderId="0" xfId="0" applyFont="1" applyFill="1" applyBorder="1" applyAlignment="1" applyProtection="1">
      <alignment horizontal="center" vertical="top" wrapText="1"/>
      <protection hidden="1"/>
    </xf>
    <xf numFmtId="0" fontId="43" fillId="0" borderId="0" xfId="0" applyFont="1" applyFill="1" applyBorder="1" applyAlignment="1" applyProtection="1">
      <alignment horizontal="left" vertical="top" wrapText="1"/>
      <protection hidden="1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center" vertical="center"/>
    </xf>
    <xf numFmtId="0" fontId="45" fillId="11" borderId="22" xfId="0" applyFont="1" applyFill="1" applyBorder="1" applyAlignment="1" applyProtection="1">
      <alignment horizontal="center" vertical="center"/>
      <protection hidden="1"/>
    </xf>
    <xf numFmtId="0" fontId="45" fillId="11" borderId="6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12" fillId="0" borderId="53" xfId="0" applyFont="1" applyBorder="1" applyAlignment="1" applyProtection="1">
      <alignment horizontal="left" vertical="center"/>
      <protection hidden="1"/>
    </xf>
    <xf numFmtId="0" fontId="12" fillId="0" borderId="40" xfId="0" applyFont="1" applyBorder="1" applyAlignment="1" applyProtection="1">
      <alignment horizontal="left" vertical="center"/>
      <protection hidden="1"/>
    </xf>
    <xf numFmtId="0" fontId="12" fillId="11" borderId="53" xfId="0" applyFont="1" applyFill="1" applyBorder="1" applyAlignment="1" applyProtection="1">
      <alignment horizontal="left" vertical="center"/>
      <protection hidden="1"/>
    </xf>
    <xf numFmtId="0" fontId="12" fillId="11" borderId="40" xfId="0" applyFont="1" applyFill="1" applyBorder="1" applyAlignment="1" applyProtection="1">
      <alignment horizontal="left" vertical="center"/>
      <protection hidden="1"/>
    </xf>
    <xf numFmtId="0" fontId="11" fillId="12" borderId="51" xfId="0" applyFont="1" applyFill="1" applyBorder="1" applyAlignment="1">
      <alignment horizontal="center" vertical="center"/>
    </xf>
    <xf numFmtId="0" fontId="11" fillId="12" borderId="43" xfId="0" applyFont="1" applyFill="1" applyBorder="1" applyAlignment="1">
      <alignment horizontal="center" vertical="center"/>
    </xf>
    <xf numFmtId="0" fontId="12" fillId="0" borderId="52" xfId="0" applyFont="1" applyBorder="1" applyAlignment="1" applyProtection="1">
      <alignment horizontal="left" vertical="center"/>
      <protection hidden="1"/>
    </xf>
    <xf numFmtId="0" fontId="12" fillId="0" borderId="42" xfId="0" applyFont="1" applyBorder="1" applyAlignment="1" applyProtection="1">
      <alignment horizontal="left" vertical="center"/>
      <protection hidden="1"/>
    </xf>
    <xf numFmtId="0" fontId="12" fillId="11" borderId="32" xfId="0" applyFont="1" applyFill="1" applyBorder="1" applyAlignment="1" applyProtection="1">
      <alignment horizontal="left" vertical="center"/>
      <protection hidden="1"/>
    </xf>
    <xf numFmtId="0" fontId="12" fillId="11" borderId="23" xfId="0" applyFont="1" applyFill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0" fontId="12" fillId="0" borderId="32" xfId="0" applyFont="1" applyFill="1" applyBorder="1" applyAlignment="1" applyProtection="1">
      <alignment horizontal="left" vertical="center"/>
      <protection hidden="1"/>
    </xf>
    <xf numFmtId="0" fontId="12" fillId="0" borderId="23" xfId="0" applyFont="1" applyFill="1" applyBorder="1" applyAlignment="1" applyProtection="1">
      <alignment horizontal="left" vertical="center"/>
      <protection hidden="1"/>
    </xf>
    <xf numFmtId="0" fontId="11" fillId="12" borderId="27" xfId="0" applyFont="1" applyFill="1" applyBorder="1" applyAlignment="1">
      <alignment horizontal="center" vertical="center"/>
    </xf>
    <xf numFmtId="0" fontId="11" fillId="12" borderId="37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9" fontId="12" fillId="0" borderId="46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46" xfId="0" applyFont="1" applyFill="1" applyBorder="1" applyAlignment="1" applyProtection="1">
      <alignment horizontal="center" vertical="center"/>
      <protection hidden="1"/>
    </xf>
    <xf numFmtId="0" fontId="12" fillId="0" borderId="49" xfId="0" applyFont="1" applyFill="1" applyBorder="1" applyAlignment="1" applyProtection="1">
      <alignment horizontal="center" vertical="center"/>
      <protection hidden="1"/>
    </xf>
    <xf numFmtId="0" fontId="12" fillId="0" borderId="39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justify" vertical="center" wrapText="1"/>
      <protection hidden="1"/>
    </xf>
    <xf numFmtId="0" fontId="22" fillId="0" borderId="39" xfId="0" applyFont="1" applyFill="1" applyBorder="1" applyAlignment="1" applyProtection="1">
      <alignment horizontal="justify" vertical="center" wrapText="1"/>
      <protection hidden="1"/>
    </xf>
    <xf numFmtId="0" fontId="14" fillId="12" borderId="54" xfId="0" applyFont="1" applyFill="1" applyBorder="1" applyAlignment="1" applyProtection="1">
      <alignment horizontal="left"/>
      <protection hidden="1"/>
    </xf>
    <xf numFmtId="0" fontId="14" fillId="12" borderId="41" xfId="0" applyFont="1" applyFill="1" applyBorder="1" applyAlignment="1" applyProtection="1">
      <alignment horizontal="left"/>
      <protection hidden="1"/>
    </xf>
    <xf numFmtId="0" fontId="12" fillId="0" borderId="53" xfId="0" applyFont="1" applyFill="1" applyBorder="1" applyAlignment="1" applyProtection="1">
      <alignment horizontal="left" vertical="center"/>
      <protection hidden="1"/>
    </xf>
    <xf numFmtId="0" fontId="12" fillId="0" borderId="40" xfId="0" applyFont="1" applyFill="1" applyBorder="1" applyAlignment="1" applyProtection="1">
      <alignment horizontal="left" vertical="center"/>
      <protection hidden="1"/>
    </xf>
    <xf numFmtId="0" fontId="12" fillId="3" borderId="53" xfId="0" applyFont="1" applyFill="1" applyBorder="1" applyAlignment="1" applyProtection="1">
      <alignment horizontal="left" vertical="center"/>
      <protection hidden="1"/>
    </xf>
    <xf numFmtId="0" fontId="12" fillId="3" borderId="40" xfId="0" applyFont="1" applyFill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1" fontId="0" fillId="0" borderId="69" xfId="0" applyNumberFormat="1" applyFill="1" applyBorder="1" applyAlignment="1" applyProtection="1">
      <alignment horizontal="center" vertical="center"/>
      <protection locked="0" hidden="1"/>
    </xf>
    <xf numFmtId="1" fontId="0" fillId="0" borderId="72" xfId="0" applyNumberFormat="1" applyFill="1" applyBorder="1" applyAlignment="1" applyProtection="1">
      <alignment horizontal="center" vertical="center"/>
      <protection locked="0" hidden="1"/>
    </xf>
    <xf numFmtId="0" fontId="4" fillId="0" borderId="68" xfId="0" applyFont="1" applyFill="1" applyBorder="1" applyAlignment="1" applyProtection="1">
      <alignment horizontal="center" vertical="center" wrapText="1"/>
      <protection hidden="1"/>
    </xf>
    <xf numFmtId="0" fontId="4" fillId="0" borderId="69" xfId="0" applyFont="1" applyFill="1" applyBorder="1" applyAlignment="1" applyProtection="1">
      <alignment horizontal="center" vertical="center" wrapText="1"/>
      <protection hidden="1"/>
    </xf>
    <xf numFmtId="0" fontId="56" fillId="0" borderId="0" xfId="0" applyFont="1" applyBorder="1" applyAlignment="1" applyProtection="1">
      <alignment horizontal="left" vertical="top" wrapText="1"/>
      <protection hidden="1"/>
    </xf>
    <xf numFmtId="166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11" fillId="12" borderId="45" xfId="0" applyFont="1" applyFill="1" applyBorder="1" applyAlignment="1">
      <alignment horizontal="center" vertical="center"/>
    </xf>
    <xf numFmtId="166" fontId="38" fillId="0" borderId="56" xfId="0" applyNumberFormat="1" applyFont="1" applyBorder="1" applyAlignment="1" applyProtection="1">
      <alignment horizontal="right" vertical="center"/>
      <protection locked="0"/>
    </xf>
    <xf numFmtId="166" fontId="38" fillId="0" borderId="63" xfId="0" applyNumberFormat="1" applyFont="1" applyBorder="1" applyAlignment="1" applyProtection="1">
      <alignment horizontal="right" vertical="center"/>
      <protection locked="0"/>
    </xf>
    <xf numFmtId="0" fontId="4" fillId="0" borderId="39" xfId="0" applyFont="1" applyBorder="1" applyAlignment="1" applyProtection="1">
      <alignment horizontal="center" vertical="center"/>
      <protection hidden="1"/>
    </xf>
    <xf numFmtId="166" fontId="7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1" fontId="12" fillId="0" borderId="67" xfId="0" applyNumberFormat="1" applyFont="1" applyFill="1" applyBorder="1" applyAlignment="1" applyProtection="1">
      <alignment horizontal="center" vertical="center"/>
      <protection locked="0" hidden="1"/>
    </xf>
    <xf numFmtId="0" fontId="11" fillId="12" borderId="36" xfId="0" applyFont="1" applyFill="1" applyBorder="1" applyAlignment="1">
      <alignment horizontal="center" vertical="center"/>
    </xf>
    <xf numFmtId="0" fontId="12" fillId="0" borderId="30" xfId="0" applyFont="1" applyBorder="1" applyAlignment="1" applyProtection="1">
      <alignment horizontal="left" vertical="center"/>
      <protection hidden="1"/>
    </xf>
    <xf numFmtId="0" fontId="12" fillId="0" borderId="25" xfId="0" applyFont="1" applyBorder="1" applyAlignment="1" applyProtection="1">
      <alignment horizontal="left" vertical="center"/>
      <protection hidden="1"/>
    </xf>
    <xf numFmtId="0" fontId="12" fillId="3" borderId="32" xfId="0" applyFont="1" applyFill="1" applyBorder="1" applyAlignment="1" applyProtection="1">
      <alignment horizontal="left" vertical="center"/>
      <protection hidden="1"/>
    </xf>
    <xf numFmtId="0" fontId="12" fillId="3" borderId="23" xfId="0" applyFont="1" applyFill="1" applyBorder="1" applyAlignment="1" applyProtection="1">
      <alignment horizontal="left" vertical="center"/>
      <protection hidden="1"/>
    </xf>
    <xf numFmtId="0" fontId="14" fillId="12" borderId="34" xfId="0" applyFont="1" applyFill="1" applyBorder="1" applyAlignment="1" applyProtection="1">
      <alignment horizontal="left" vertical="center"/>
      <protection hidden="1"/>
    </xf>
    <xf numFmtId="0" fontId="14" fillId="12" borderId="24" xfId="0" applyFont="1" applyFill="1" applyBorder="1" applyAlignment="1" applyProtection="1">
      <alignment horizontal="left" vertical="center"/>
      <protection hidden="1"/>
    </xf>
    <xf numFmtId="0" fontId="46" fillId="13" borderId="57" xfId="0" applyFont="1" applyFill="1" applyBorder="1" applyAlignment="1" applyProtection="1">
      <alignment horizontal="center" vertical="center"/>
      <protection hidden="1"/>
    </xf>
    <xf numFmtId="166" fontId="38" fillId="11" borderId="25" xfId="0" applyNumberFormat="1" applyFont="1" applyFill="1" applyBorder="1" applyAlignment="1" applyProtection="1">
      <alignment horizontal="right"/>
      <protection hidden="1"/>
    </xf>
    <xf numFmtId="166" fontId="38" fillId="0" borderId="56" xfId="0" applyNumberFormat="1" applyFont="1" applyBorder="1" applyAlignment="1" applyProtection="1">
      <alignment horizontal="right"/>
      <protection locked="0" hidden="1"/>
    </xf>
    <xf numFmtId="0" fontId="57" fillId="0" borderId="38" xfId="0" applyFont="1" applyBorder="1" applyAlignment="1" applyProtection="1">
      <alignment horizontal="left" vertical="top"/>
      <protection hidden="1"/>
    </xf>
    <xf numFmtId="2" fontId="46" fillId="13" borderId="57" xfId="0" applyNumberFormat="1" applyFont="1" applyFill="1" applyBorder="1" applyAlignment="1">
      <alignment horizontal="center" vertical="center"/>
    </xf>
    <xf numFmtId="2" fontId="46" fillId="13" borderId="59" xfId="0" applyNumberFormat="1" applyFont="1" applyFill="1" applyBorder="1" applyAlignment="1">
      <alignment horizontal="center" vertical="center"/>
    </xf>
    <xf numFmtId="166" fontId="38" fillId="11" borderId="25" xfId="0" applyNumberFormat="1" applyFont="1" applyFill="1" applyBorder="1" applyAlignment="1">
      <alignment horizontal="right" vertical="center"/>
    </xf>
    <xf numFmtId="166" fontId="38" fillId="11" borderId="6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6">
    <cellStyle name="Вывод 2" xfId="1"/>
    <cellStyle name="Гиперссылка" xfId="5" builtinId="8"/>
    <cellStyle name="Обычный" xfId="0" builtinId="0"/>
    <cellStyle name="Плохой 2" xfId="2"/>
    <cellStyle name="Процентный 2" xfId="3"/>
    <cellStyle name="Хороший 2" xfId="4"/>
  </cellStyles>
  <dxfs count="46">
    <dxf>
      <font>
        <strike val="0"/>
        <outline val="0"/>
        <shadow val="0"/>
        <u val="none"/>
        <vertAlign val="baseline"/>
        <sz val="10"/>
        <color rgb="FFFF0000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>
        <left style="hair">
          <color theme="0" tint="-0.499984740745262"/>
        </left>
        <right/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&quot;р.&quot;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  <protection locked="1" hidden="1"/>
    </dxf>
    <dxf>
      <border>
        <top style="hair">
          <color theme="0" tint="-0.499984740745262"/>
        </top>
      </border>
    </dxf>
    <dxf>
      <border diagonalUp="0" diagonalDown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2" formatCode="#,000"/>
      <alignment vertical="center" textRotation="0" wrapText="0" indent="0" justifyLastLine="0" shrinkToFit="0" readingOrder="0"/>
      <protection locked="1" hidden="1"/>
    </dxf>
    <dxf>
      <border>
        <bottom style="medium">
          <color theme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/>
        <bottom/>
      </border>
      <protection locked="1" hidden="1"/>
    </dxf>
    <dxf>
      <font>
        <color rgb="FF00B05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70BDD2"/>
      <color rgb="FFFDF5FC"/>
      <color rgb="FFFFF7D9"/>
      <color rgb="FFFEFEF4"/>
      <color rgb="FFFEF4F4"/>
      <color rgb="FFF8E0E0"/>
      <color rgb="FFFFEBEB"/>
      <color rgb="FFFF5050"/>
      <color rgb="FFFDF2D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0975958838543"/>
          <c:y val="2.8828828828828829E-2"/>
          <c:w val="0.7533624724650636"/>
          <c:h val="0.84395223097112859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40000"/>
                </a:schemeClr>
              </a:solidFill>
              <a:ln>
                <a:noFill/>
              </a:ln>
            </c:spPr>
          </c:dPt>
          <c:cat>
            <c:strRef>
              <c:f>'Учет данных'!$O$11:$O$14</c:f>
              <c:strCache>
                <c:ptCount val="4"/>
                <c:pt idx="0">
                  <c:v>Янв нед1</c:v>
                </c:pt>
                <c:pt idx="1">
                  <c:v>Янв нед2</c:v>
                </c:pt>
                <c:pt idx="2">
                  <c:v>Янв нед3</c:v>
                </c:pt>
                <c:pt idx="3">
                  <c:v>Янв нед4</c:v>
                </c:pt>
              </c:strCache>
            </c:strRef>
          </c:cat>
          <c:val>
            <c:numRef>
              <c:f>'Учет данных'!$S$11:$S$14</c:f>
              <c:numCache>
                <c:formatCode>0.0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547904"/>
        <c:axId val="47546368"/>
      </c:barChart>
      <c:lineChart>
        <c:grouping val="standard"/>
        <c:varyColors val="0"/>
        <c:ser>
          <c:idx val="0"/>
          <c:order val="0"/>
          <c:spPr>
            <a:ln w="317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dLbls>
            <c:numFmt formatCode="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900" b="1" i="1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'Учет данных'!$O$11:$O$14</c:f>
              <c:strCache>
                <c:ptCount val="4"/>
                <c:pt idx="0">
                  <c:v>Янв нед1</c:v>
                </c:pt>
                <c:pt idx="1">
                  <c:v>Янв нед2</c:v>
                </c:pt>
                <c:pt idx="2">
                  <c:v>Янв нед3</c:v>
                </c:pt>
                <c:pt idx="3">
                  <c:v>Янв нед4</c:v>
                </c:pt>
              </c:strCache>
            </c:strRef>
          </c:cat>
          <c:val>
            <c:numRef>
              <c:f>'Учет данных'!$R$11:$R$14</c:f>
              <c:numCache>
                <c:formatCode>#\ ##0.00\р.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22560"/>
        <c:axId val="47524096"/>
      </c:lineChart>
      <c:catAx>
        <c:axId val="47522560"/>
        <c:scaling>
          <c:orientation val="minMax"/>
        </c:scaling>
        <c:delete val="0"/>
        <c:axPos val="b"/>
        <c:majorGridlines>
          <c:spPr>
            <a:ln w="6350">
              <a:noFill/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800" b="0" i="0"/>
            </a:pPr>
            <a:endParaRPr lang="ru-RU"/>
          </a:p>
        </c:txPr>
        <c:crossAx val="47524096"/>
        <c:crosses val="autoZero"/>
        <c:auto val="1"/>
        <c:lblAlgn val="ctr"/>
        <c:lblOffset val="100"/>
        <c:noMultiLvlLbl val="0"/>
      </c:catAx>
      <c:valAx>
        <c:axId val="4752409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ru-RU"/>
          </a:p>
        </c:txPr>
        <c:crossAx val="47522560"/>
        <c:crosses val="autoZero"/>
        <c:crossBetween val="between"/>
      </c:valAx>
      <c:valAx>
        <c:axId val="47546368"/>
        <c:scaling>
          <c:orientation val="minMax"/>
          <c:max val="1"/>
          <c:min val="0"/>
        </c:scaling>
        <c:delete val="0"/>
        <c:axPos val="r"/>
        <c:numFmt formatCode="0.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47547904"/>
        <c:crosses val="max"/>
        <c:crossBetween val="between"/>
      </c:valAx>
      <c:catAx>
        <c:axId val="475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1276032"/>
        <c:axId val="241274240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Статистика!$BX$5:$CI$5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Статистика!$BX$25:$CI$25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70784"/>
        <c:axId val="241272704"/>
      </c:lineChart>
      <c:catAx>
        <c:axId val="24127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241272704"/>
        <c:crosses val="autoZero"/>
        <c:auto val="1"/>
        <c:lblAlgn val="ctr"/>
        <c:lblOffset val="100"/>
        <c:noMultiLvlLbl val="0"/>
      </c:catAx>
      <c:valAx>
        <c:axId val="24127270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41270784"/>
        <c:crosses val="autoZero"/>
        <c:crossBetween val="between"/>
      </c:valAx>
      <c:valAx>
        <c:axId val="24127424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241276032"/>
        <c:crosses val="max"/>
        <c:crossBetween val="between"/>
      </c:valAx>
      <c:catAx>
        <c:axId val="24127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412742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1643520"/>
        <c:axId val="241641728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Статистика!$BX$7:$CI$7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Статистика!$BX$27:$CI$27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33920"/>
        <c:axId val="241640192"/>
      </c:lineChart>
      <c:catAx>
        <c:axId val="241633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241640192"/>
        <c:crosses val="autoZero"/>
        <c:auto val="1"/>
        <c:lblAlgn val="ctr"/>
        <c:lblOffset val="100"/>
        <c:noMultiLvlLbl val="0"/>
      </c:catAx>
      <c:valAx>
        <c:axId val="2416401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&quot;р.&quot;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41633920"/>
        <c:crosses val="autoZero"/>
        <c:crossBetween val="between"/>
      </c:valAx>
      <c:valAx>
        <c:axId val="24164172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241643520"/>
        <c:crosses val="max"/>
        <c:crossBetween val="between"/>
      </c:valAx>
      <c:catAx>
        <c:axId val="24164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2416417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1690880"/>
        <c:axId val="241689344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Статистика!$BX$17:$CI$17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Статистика!$BX$37:$CI$37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77440"/>
        <c:axId val="241679360"/>
      </c:lineChart>
      <c:catAx>
        <c:axId val="241677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241679360"/>
        <c:crosses val="autoZero"/>
        <c:auto val="1"/>
        <c:lblAlgn val="ctr"/>
        <c:lblOffset val="100"/>
        <c:noMultiLvlLbl val="0"/>
      </c:catAx>
      <c:valAx>
        <c:axId val="24167936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41677440"/>
        <c:crosses val="autoZero"/>
        <c:crossBetween val="between"/>
      </c:valAx>
      <c:valAx>
        <c:axId val="241689344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241690880"/>
        <c:crosses val="max"/>
        <c:crossBetween val="between"/>
      </c:valAx>
      <c:catAx>
        <c:axId val="241690880"/>
        <c:scaling>
          <c:orientation val="minMax"/>
        </c:scaling>
        <c:delete val="1"/>
        <c:axPos val="b"/>
        <c:majorTickMark val="out"/>
        <c:minorTickMark val="none"/>
        <c:tickLblPos val="nextTo"/>
        <c:crossAx val="2416893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1738880"/>
        <c:axId val="241737088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Статистика!$BX$6:$CI$6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Статистика!$BX$26:$CI$26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3632"/>
        <c:axId val="241735552"/>
      </c:lineChart>
      <c:catAx>
        <c:axId val="241733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241735552"/>
        <c:crosses val="autoZero"/>
        <c:auto val="1"/>
        <c:lblAlgn val="ctr"/>
        <c:lblOffset val="100"/>
        <c:noMultiLvlLbl val="0"/>
      </c:catAx>
      <c:valAx>
        <c:axId val="2417355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41733632"/>
        <c:crosses val="autoZero"/>
        <c:crossBetween val="between"/>
      </c:valAx>
      <c:valAx>
        <c:axId val="24173708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241738880"/>
        <c:crosses val="max"/>
        <c:crossBetween val="between"/>
      </c:valAx>
      <c:catAx>
        <c:axId val="24173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24173708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01833399143692"/>
          <c:y val="4.9844226978835431E-3"/>
          <c:w val="0.88274359510370937"/>
          <c:h val="0.99003115460423297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rgbClr val="FF0000">
                  <a:alpha val="54000"/>
                </a:srgbClr>
              </a:solidFill>
            </c:spPr>
          </c:dPt>
          <c:dPt>
            <c:idx val="2"/>
            <c:bubble3D val="0"/>
            <c:spPr>
              <a:solidFill>
                <a:schemeClr val="bg2"/>
              </a:solidFill>
            </c:spPr>
          </c:dPt>
          <c:dPt>
            <c:idx val="3"/>
            <c:bubble3D val="0"/>
            <c:spPr>
              <a:solidFill>
                <a:schemeClr val="accent5"/>
              </a:solidFill>
            </c:spPr>
          </c:dPt>
          <c:cat>
            <c:strRef>
              <c:f>Прогнозирование!$AF$4:$AF$7</c:f>
              <c:strCache>
                <c:ptCount val="4"/>
                <c:pt idx="0">
                  <c:v>Прозрачно</c:v>
                </c:pt>
                <c:pt idx="1">
                  <c:v>Красный</c:v>
                </c:pt>
                <c:pt idx="2">
                  <c:v>Желтый</c:v>
                </c:pt>
                <c:pt idx="3">
                  <c:v>Зеленый</c:v>
                </c:pt>
              </c:strCache>
            </c:strRef>
          </c:cat>
          <c:val>
            <c:numRef>
              <c:f>Прогнозирование!$AG$4:$AG$7</c:f>
              <c:numCache>
                <c:formatCode>General</c:formatCode>
                <c:ptCount val="4"/>
                <c:pt idx="0">
                  <c:v>178</c:v>
                </c:pt>
                <c:pt idx="1">
                  <c:v>117</c:v>
                </c:pt>
                <c:pt idx="2">
                  <c:v>45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1"/>
        <c:holeSize val="81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613430550550057E-2"/>
          <c:y val="4.1448682746393864E-2"/>
          <c:w val="0.94832927575408554"/>
          <c:h val="0.8664207433236568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val>
            <c:numRef>
              <c:f>Прогнозирование!$AL$5:$AL$7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2069387344281"/>
          <c:y val="9.9688453957670863E-3"/>
          <c:w val="0.88274359510370937"/>
          <c:h val="0.99003115460423297"/>
        </c:manualLayout>
      </c:layout>
      <c:pieChart>
        <c:varyColors val="1"/>
        <c:ser>
          <c:idx val="0"/>
          <c:order val="0"/>
          <c:spPr>
            <a:noFill/>
          </c:spPr>
          <c:dPt>
            <c:idx val="0"/>
            <c:bubble3D val="0"/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  <a:alpha val="36000"/>
                </a:schemeClr>
              </a:solidFill>
            </c:spPr>
          </c:dPt>
          <c:dPt>
            <c:idx val="2"/>
            <c:bubble3D val="0"/>
          </c:dPt>
          <c:dPt>
            <c:idx val="3"/>
            <c:bubble3D val="0"/>
          </c:dPt>
          <c:cat>
            <c:strRef>
              <c:f>Прогнозирование!$AF$4:$AF$7</c:f>
              <c:strCache>
                <c:ptCount val="4"/>
                <c:pt idx="0">
                  <c:v>Прозрачно</c:v>
                </c:pt>
                <c:pt idx="1">
                  <c:v>Красный</c:v>
                </c:pt>
                <c:pt idx="2">
                  <c:v>Желтый</c:v>
                </c:pt>
                <c:pt idx="3">
                  <c:v>Зеленый</c:v>
                </c:pt>
              </c:strCache>
            </c:strRef>
          </c:cat>
          <c:val>
            <c:numRef>
              <c:f>Прогнозирование!$AE$4:$AE$7</c:f>
              <c:numCache>
                <c:formatCode>General</c:formatCode>
                <c:ptCount val="4"/>
                <c:pt idx="0">
                  <c:v>178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1"/>
      </c:pie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2069387344281"/>
          <c:y val="9.9688453957670863E-3"/>
          <c:w val="0.88274359510370937"/>
          <c:h val="0.99003115460423297"/>
        </c:manualLayout>
      </c:layout>
      <c:pieChart>
        <c:varyColors val="1"/>
        <c:ser>
          <c:idx val="0"/>
          <c:order val="0"/>
          <c:spPr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noFill/>
              <a:effectLst/>
              <a:scene3d>
                <a:camera prst="orthographicFront"/>
                <a:lightRig rig="threePt" dir="t"/>
              </a:scene3d>
            </c:spPr>
          </c:dPt>
          <c:dPt>
            <c:idx val="1"/>
            <c:bubble3D val="0"/>
            <c:spPr>
              <a:noFill/>
              <a:effectLst/>
              <a:scene3d>
                <a:camera prst="orthographicFront"/>
                <a:lightRig rig="threePt" dir="t"/>
              </a:scene3d>
            </c:spPr>
          </c:dPt>
          <c:dPt>
            <c:idx val="2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</c:spPr>
          </c:dPt>
          <c:dPt>
            <c:idx val="3"/>
            <c:bubble3D val="0"/>
            <c:spPr>
              <a:noFill/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Прогнозирование!$AF$4:$AF$7</c:f>
              <c:strCache>
                <c:ptCount val="4"/>
                <c:pt idx="0">
                  <c:v>Прозрачно</c:v>
                </c:pt>
                <c:pt idx="1">
                  <c:v>Красный</c:v>
                </c:pt>
                <c:pt idx="2">
                  <c:v>Желтый</c:v>
                </c:pt>
                <c:pt idx="3">
                  <c:v>Зеленый</c:v>
                </c:pt>
              </c:strCache>
            </c:strRef>
          </c:cat>
          <c:val>
            <c:numRef>
              <c:f>Прогнозирование!$AI$4:$AI$7</c:f>
              <c:numCache>
                <c:formatCode>General</c:formatCode>
                <c:ptCount val="4"/>
                <c:pt idx="0">
                  <c:v>180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1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469760"/>
        <c:axId val="182463872"/>
      </c:barChart>
      <c:lineChart>
        <c:grouping val="standard"/>
        <c:varyColors val="0"/>
        <c:ser>
          <c:idx val="0"/>
          <c:order val="0"/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Статистика!$BX$19:$CI$19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Статистика!$BX$39:$CI$39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60416"/>
        <c:axId val="182462336"/>
      </c:lineChart>
      <c:catAx>
        <c:axId val="18246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2462336"/>
        <c:crosses val="autoZero"/>
        <c:auto val="1"/>
        <c:lblAlgn val="ctr"/>
        <c:lblOffset val="100"/>
        <c:noMultiLvlLbl val="0"/>
      </c:catAx>
      <c:valAx>
        <c:axId val="18246233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&quot;р.&quot;" sourceLinked="0"/>
        <c:majorTickMark val="out"/>
        <c:minorTickMark val="none"/>
        <c:tickLblPos val="nextTo"/>
        <c:crossAx val="182460416"/>
        <c:crosses val="autoZero"/>
        <c:crossBetween val="between"/>
      </c:valAx>
      <c:valAx>
        <c:axId val="182463872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82469760"/>
        <c:crosses val="max"/>
        <c:crossBetween val="between"/>
      </c:valAx>
      <c:catAx>
        <c:axId val="182469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824638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lt1"/>
    </a:solidFill>
    <a:ln w="254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515200"/>
        <c:axId val="182513664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Статистика!$BX$10:$CI$10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Статистика!$BX$30:$CI$30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97664"/>
        <c:axId val="182499584"/>
      </c:lineChart>
      <c:catAx>
        <c:axId val="18249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82499584"/>
        <c:crosses val="autoZero"/>
        <c:auto val="1"/>
        <c:lblAlgn val="ctr"/>
        <c:lblOffset val="100"/>
        <c:noMultiLvlLbl val="0"/>
      </c:catAx>
      <c:valAx>
        <c:axId val="18249958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2497664"/>
        <c:crosses val="autoZero"/>
        <c:crossBetween val="between"/>
      </c:valAx>
      <c:valAx>
        <c:axId val="182513664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82515200"/>
        <c:crosses val="max"/>
        <c:crossBetween val="between"/>
      </c:valAx>
      <c:catAx>
        <c:axId val="18251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825136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559104"/>
        <c:axId val="182549120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Статистика!$BX$3:$CI$3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Статистика!$BX$23:$CI$23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45408"/>
        <c:axId val="182547584"/>
      </c:lineChart>
      <c:catAx>
        <c:axId val="182545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82547584"/>
        <c:crosses val="autoZero"/>
        <c:auto val="1"/>
        <c:lblAlgn val="ctr"/>
        <c:lblOffset val="100"/>
        <c:noMultiLvlLbl val="0"/>
      </c:catAx>
      <c:valAx>
        <c:axId val="18254758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2545408"/>
        <c:crosses val="autoZero"/>
        <c:crossBetween val="between"/>
      </c:valAx>
      <c:valAx>
        <c:axId val="18254912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82559104"/>
        <c:crosses val="max"/>
        <c:crossBetween val="between"/>
      </c:valAx>
      <c:catAx>
        <c:axId val="18255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8254912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5905024"/>
        <c:axId val="195903488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Статистика!$BX$16:$CI$16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Статистика!$BX$36:$CI$36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91584"/>
        <c:axId val="195893504"/>
      </c:lineChart>
      <c:catAx>
        <c:axId val="195891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95893504"/>
        <c:crosses val="autoZero"/>
        <c:auto val="1"/>
        <c:lblAlgn val="ctr"/>
        <c:lblOffset val="100"/>
        <c:noMultiLvlLbl val="0"/>
      </c:catAx>
      <c:valAx>
        <c:axId val="19589350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&quot;р.&quot;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95891584"/>
        <c:crosses val="autoZero"/>
        <c:crossBetween val="between"/>
      </c:valAx>
      <c:valAx>
        <c:axId val="19590348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95905024"/>
        <c:crosses val="max"/>
        <c:crossBetween val="between"/>
      </c:valAx>
      <c:catAx>
        <c:axId val="195905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590348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  <a:effectLst/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5941120"/>
        <c:axId val="195939328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Статистика!$BX$11:$CI$11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Статистика!$BX$31:$CI$31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35616"/>
        <c:axId val="195937792"/>
      </c:lineChart>
      <c:catAx>
        <c:axId val="19593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95937792"/>
        <c:crosses val="autoZero"/>
        <c:auto val="1"/>
        <c:lblAlgn val="ctr"/>
        <c:lblOffset val="100"/>
        <c:noMultiLvlLbl val="0"/>
      </c:catAx>
      <c:valAx>
        <c:axId val="1959377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95935616"/>
        <c:crosses val="autoZero"/>
        <c:crossBetween val="between"/>
      </c:valAx>
      <c:valAx>
        <c:axId val="19593932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95941120"/>
        <c:crosses val="max"/>
        <c:crossBetween val="between"/>
      </c:valAx>
      <c:catAx>
        <c:axId val="19594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959393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353280"/>
        <c:axId val="182351744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Статистика!$BX$4:$CI$4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Статистика!$BX$24:$CI$24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43936"/>
        <c:axId val="182350208"/>
      </c:lineChart>
      <c:catAx>
        <c:axId val="182343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82350208"/>
        <c:crosses val="autoZero"/>
        <c:auto val="1"/>
        <c:lblAlgn val="ctr"/>
        <c:lblOffset val="100"/>
        <c:noMultiLvlLbl val="0"/>
      </c:catAx>
      <c:valAx>
        <c:axId val="1823502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2343936"/>
        <c:crosses val="autoZero"/>
        <c:crossBetween val="between"/>
      </c:valAx>
      <c:valAx>
        <c:axId val="182351744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82353280"/>
        <c:crosses val="max"/>
        <c:crossBetween val="between"/>
      </c:valAx>
      <c:catAx>
        <c:axId val="182353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823517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410240"/>
        <c:axId val="182408704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Статистика!$BX$40:$CI$40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Статистика!$BX$41:$CI$41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3"/>
          <c:order val="3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Статистика!$BX$28:$CI$28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4"/>
          <c:order val="4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Статистика!$BX$29:$CI$29</c:f>
              <c:numCache>
                <c:formatCode>#,##0"р."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96800"/>
        <c:axId val="182407168"/>
      </c:lineChart>
      <c:catAx>
        <c:axId val="182396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82407168"/>
        <c:crosses val="autoZero"/>
        <c:auto val="1"/>
        <c:lblAlgn val="ctr"/>
        <c:lblOffset val="100"/>
        <c:noMultiLvlLbl val="0"/>
      </c:catAx>
      <c:valAx>
        <c:axId val="18240716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#,##0&quot;р.&quot;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2396800"/>
        <c:crosses val="autoZero"/>
        <c:crossBetween val="between"/>
      </c:valAx>
      <c:valAx>
        <c:axId val="182408704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82410240"/>
        <c:crosses val="max"/>
        <c:crossBetween val="between"/>
      </c:valAx>
      <c:catAx>
        <c:axId val="182410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824087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3285214348206"/>
          <c:y val="9.7581291921843102E-2"/>
          <c:w val="0.84015423251949617"/>
          <c:h val="0.851018153980752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>
                <a:lumMod val="20000"/>
                <a:lumOff val="80000"/>
                <a:alpha val="50000"/>
              </a:schemeClr>
            </a:solidFill>
          </c:spPr>
          <c:invertIfNegative val="0"/>
          <c:val>
            <c:numRef>
              <c:f>Статистика!$BX$20:$CI$20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1248512"/>
        <c:axId val="241246976"/>
      </c:barChart>
      <c:lineChart>
        <c:grouping val="standard"/>
        <c:varyColors val="0"/>
        <c:ser>
          <c:idx val="0"/>
          <c:order val="0"/>
          <c:marker>
            <c:symbol val="circle"/>
            <c:size val="6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Статистика!$BX$12:$CI$12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Статистика!$BX$21:$CI$21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Статистика!$BX$32:$CI$32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49280"/>
        <c:axId val="182451200"/>
      </c:lineChart>
      <c:catAx>
        <c:axId val="182449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82451200"/>
        <c:crosses val="autoZero"/>
        <c:auto val="1"/>
        <c:lblAlgn val="ctr"/>
        <c:lblOffset val="100"/>
        <c:noMultiLvlLbl val="0"/>
      </c:catAx>
      <c:valAx>
        <c:axId val="182451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5">
                  <a:lumMod val="20000"/>
                  <a:lumOff val="80000"/>
                </a:schemeClr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2449280"/>
        <c:crosses val="autoZero"/>
        <c:crossBetween val="between"/>
      </c:valAx>
      <c:valAx>
        <c:axId val="24124697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241248512"/>
        <c:crosses val="max"/>
        <c:crossBetween val="between"/>
      </c:valAx>
      <c:catAx>
        <c:axId val="2412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412469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19050">
      <a:noFill/>
    </a:ln>
    <a:effectLst/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for_code!$B$1" fmlaRange="Справочник!$B$2:$B$49" val="0"/>
</file>

<file path=xl/ctrlProps/ctrlProp10.xml><?xml version="1.0" encoding="utf-8"?>
<formControlPr xmlns="http://schemas.microsoft.com/office/spreadsheetml/2009/9/main" objectType="Scroll" dx="15" fmlaLink="$G$35" horiz="1" max="100" page="10" val="70"/>
</file>

<file path=xl/ctrlProps/ctrlProp11.xml><?xml version="1.0" encoding="utf-8"?>
<formControlPr xmlns="http://schemas.microsoft.com/office/spreadsheetml/2009/9/main" objectType="Drop" dropStyle="combo" dx="16" fmlaLink="Статистика!$CJ$1" fmlaRange="Справочник!$N$2:$N$13" val="0"/>
</file>

<file path=xl/ctrlProps/ctrlProp12.xml><?xml version="1.0" encoding="utf-8"?>
<formControlPr xmlns="http://schemas.microsoft.com/office/spreadsheetml/2009/9/main" objectType="Scroll" dx="15" fmlaLink="$L$10" horiz="1" inc="5" max="600" page="10" val="300"/>
</file>

<file path=xl/ctrlProps/ctrlProp13.xml><?xml version="1.0" encoding="utf-8"?>
<formControlPr xmlns="http://schemas.microsoft.com/office/spreadsheetml/2009/9/main" objectType="Scroll" dx="15" fmlaLink="$L$11" horiz="1" inc="5" max="600" page="10" val="300"/>
</file>

<file path=xl/ctrlProps/ctrlProp14.xml><?xml version="1.0" encoding="utf-8"?>
<formControlPr xmlns="http://schemas.microsoft.com/office/spreadsheetml/2009/9/main" objectType="Scroll" dx="15" fmlaLink="$L$13" horiz="1" inc="5" max="600" page="10" val="300"/>
</file>

<file path=xl/ctrlProps/ctrlProp15.xml><?xml version="1.0" encoding="utf-8"?>
<formControlPr xmlns="http://schemas.microsoft.com/office/spreadsheetml/2009/9/main" objectType="Scroll" dx="15" fmlaLink="$L$15" horiz="1" inc="5" max="600" page="10" val="300"/>
</file>

<file path=xl/ctrlProps/ctrlProp16.xml><?xml version="1.0" encoding="utf-8"?>
<formControlPr xmlns="http://schemas.microsoft.com/office/spreadsheetml/2009/9/main" objectType="Scroll" dx="15" fmlaLink="$L$17" horiz="1" inc="5" max="600" page="10" val="300"/>
</file>

<file path=xl/ctrlProps/ctrlProp17.xml><?xml version="1.0" encoding="utf-8"?>
<formControlPr xmlns="http://schemas.microsoft.com/office/spreadsheetml/2009/9/main" objectType="Scroll" dx="15" fmlaLink="$L$19" horiz="1" inc="5" max="600" page="10" val="300"/>
</file>

<file path=xl/ctrlProps/ctrlProp18.xml><?xml version="1.0" encoding="utf-8"?>
<formControlPr xmlns="http://schemas.microsoft.com/office/spreadsheetml/2009/9/main" objectType="Radio" checked="Checked" firstButton="1" fmlaLink="$A$1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Drop" dropStyle="combo" dx="16" fmlaLink="for_code!$B$2" fmlaRange="Справочник!$H$1:$H$15" val="0"/>
</file>

<file path=xl/ctrlProps/ctrlProp3.xml><?xml version="1.0" encoding="utf-8"?>
<formControlPr xmlns="http://schemas.microsoft.com/office/spreadsheetml/2009/9/main" objectType="Drop" dropStyle="combo" dx="16" fmlaLink="$CJ$1" fmlaRange="Справочник!$N$2:$N$13" val="0"/>
</file>

<file path=xl/ctrlProps/ctrlProp4.xml><?xml version="1.0" encoding="utf-8"?>
<formControlPr xmlns="http://schemas.microsoft.com/office/spreadsheetml/2009/9/main" objectType="CheckBox" checked="Checked" fmlaLink="$DD$28" lockText="1"/>
</file>

<file path=xl/ctrlProps/ctrlProp5.xml><?xml version="1.0" encoding="utf-8"?>
<formControlPr xmlns="http://schemas.microsoft.com/office/spreadsheetml/2009/9/main" objectType="CheckBox" checked="Checked" fmlaLink="$DD$29" lockText="1"/>
</file>

<file path=xl/ctrlProps/ctrlProp6.xml><?xml version="1.0" encoding="utf-8"?>
<formControlPr xmlns="http://schemas.microsoft.com/office/spreadsheetml/2009/9/main" objectType="Scroll" dx="15" fmlaLink="$G$29" horiz="1" max="100" page="10" val="12"/>
</file>

<file path=xl/ctrlProps/ctrlProp7.xml><?xml version="1.0" encoding="utf-8"?>
<formControlPr xmlns="http://schemas.microsoft.com/office/spreadsheetml/2009/9/main" objectType="Scroll" dx="15" fmlaLink="$G$30" horiz="1" max="100" page="10" val="80"/>
</file>

<file path=xl/ctrlProps/ctrlProp8.xml><?xml version="1.0" encoding="utf-8"?>
<formControlPr xmlns="http://schemas.microsoft.com/office/spreadsheetml/2009/9/main" objectType="Scroll" dx="15" fmlaLink="$G$31" horiz="1" max="100" page="10" val="40"/>
</file>

<file path=xl/ctrlProps/ctrlProp9.xml><?xml version="1.0" encoding="utf-8"?>
<formControlPr xmlns="http://schemas.microsoft.com/office/spreadsheetml/2009/9/main" objectType="Scroll" dx="15" fmlaLink="$G$32" horiz="1" max="100" page="10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.jpg"/><Relationship Id="rId2" Type="http://schemas.openxmlformats.org/officeDocument/2006/relationships/image" Target="../media/image3.jpeg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147652</xdr:colOff>
      <xdr:row>7</xdr:row>
      <xdr:rowOff>281360</xdr:rowOff>
    </xdr:from>
    <xdr:to>
      <xdr:col>20</xdr:col>
      <xdr:colOff>228600</xdr:colOff>
      <xdr:row>24</xdr:row>
      <xdr:rowOff>133346</xdr:rowOff>
    </xdr:to>
    <xdr:grpSp>
      <xdr:nvGrpSpPr>
        <xdr:cNvPr id="14" name="Группа 13"/>
        <xdr:cNvGrpSpPr/>
      </xdr:nvGrpSpPr>
      <xdr:grpSpPr>
        <a:xfrm>
          <a:off x="12022152" y="810527"/>
          <a:ext cx="3721615" cy="3079902"/>
          <a:chOff x="12061046" y="1400552"/>
          <a:chExt cx="3321829" cy="2909511"/>
        </a:xfrm>
      </xdr:grpSpPr>
      <xdr:grpSp>
        <xdr:nvGrpSpPr>
          <xdr:cNvPr id="4" name="Группа 3"/>
          <xdr:cNvGrpSpPr/>
        </xdr:nvGrpSpPr>
        <xdr:grpSpPr>
          <a:xfrm>
            <a:off x="12061046" y="1400552"/>
            <a:ext cx="3321829" cy="2909511"/>
            <a:chOff x="8990125" y="5135336"/>
            <a:chExt cx="2323875" cy="2264228"/>
          </a:xfrm>
        </xdr:grpSpPr>
        <xdr:pic>
          <xdr:nvPicPr>
            <xdr:cNvPr id="8" name="Рисунок 7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990125" y="5135336"/>
              <a:ext cx="2323875" cy="2264228"/>
            </a:xfrm>
            <a:prstGeom prst="rect">
              <a:avLst/>
            </a:prstGeom>
          </xdr:spPr>
        </xdr:pic>
        <xdr:sp macro="" textlink="$V$37">
          <xdr:nvSpPr>
            <xdr:cNvPr id="9" name="TextBox 8"/>
            <xdr:cNvSpPr txBox="1"/>
          </xdr:nvSpPr>
          <xdr:spPr>
            <a:xfrm>
              <a:off x="9965228" y="5405205"/>
              <a:ext cx="417439" cy="194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fld id="{A777B9BC-FD5D-4254-9C90-3A4DBD4FC0D1}" type="TxLink">
                <a:rPr lang="ru-RU" sz="1100" b="1"/>
                <a:pPr algn="ctr"/>
                <a:t>Клики 0</a:t>
              </a:fld>
              <a:endParaRPr lang="ru-RU" sz="1100" b="1"/>
            </a:p>
          </xdr:txBody>
        </xdr:sp>
        <xdr:sp macro="" textlink="$V$38">
          <xdr:nvSpPr>
            <xdr:cNvPr id="10" name="TextBox 9"/>
            <xdr:cNvSpPr txBox="1"/>
          </xdr:nvSpPr>
          <xdr:spPr>
            <a:xfrm>
              <a:off x="9917103" y="5913593"/>
              <a:ext cx="445827" cy="194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fld id="{BFB543FA-9662-4DAE-8886-84E1EE568BBE}" type="TxLink">
                <a:rPr lang="ru-RU" sz="1100" b="1"/>
                <a:pPr/>
                <a:t>Заявки 0</a:t>
              </a:fld>
              <a:endParaRPr lang="ru-RU" sz="1100" b="1"/>
            </a:p>
          </xdr:txBody>
        </xdr:sp>
        <xdr:sp macro="" textlink="$V$39">
          <xdr:nvSpPr>
            <xdr:cNvPr id="11" name="TextBox 10"/>
            <xdr:cNvSpPr txBox="1"/>
          </xdr:nvSpPr>
          <xdr:spPr>
            <a:xfrm>
              <a:off x="9895854" y="6310268"/>
              <a:ext cx="484103" cy="194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fld id="{F83D26D6-4742-4B95-A23C-62CA795E4255}" type="TxLink">
                <a:rPr lang="ru-RU" sz="1100" b="1"/>
                <a:pPr/>
                <a:t>Встречи 0</a:t>
              </a:fld>
              <a:endParaRPr lang="ru-RU" sz="1100" b="1"/>
            </a:p>
          </xdr:txBody>
        </xdr:sp>
        <xdr:sp macro="" textlink="$V$40">
          <xdr:nvSpPr>
            <xdr:cNvPr id="12" name="TextBox 11"/>
            <xdr:cNvSpPr txBox="1"/>
          </xdr:nvSpPr>
          <xdr:spPr>
            <a:xfrm>
              <a:off x="9870239" y="6674129"/>
              <a:ext cx="538675" cy="194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fld id="{3AC28C1F-BA1A-4642-B96A-47DF58613021}" type="TxLink">
                <a:rPr lang="ru-RU" sz="1100" b="1"/>
                <a:pPr/>
                <a:t>Продажи 0</a:t>
              </a:fld>
              <a:endParaRPr lang="ru-RU" sz="1100" b="1"/>
            </a:p>
          </xdr:txBody>
        </xdr:sp>
        <xdr:sp macro="" textlink="$V$41">
          <xdr:nvSpPr>
            <xdr:cNvPr id="13" name="TextBox 12"/>
            <xdr:cNvSpPr txBox="1"/>
          </xdr:nvSpPr>
          <xdr:spPr>
            <a:xfrm>
              <a:off x="9942570" y="6898949"/>
              <a:ext cx="450431" cy="295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tIns="0" bIns="72000" rtlCol="0" anchor="t">
              <a:spAutoFit/>
            </a:bodyPr>
            <a:lstStyle/>
            <a:p>
              <a:pPr algn="ctr"/>
              <a:fld id="{28FD2405-DF98-4985-AD99-7338CF1F0BE5}" type="TxLink">
                <a:rPr lang="ru-RU" sz="1050" b="1"/>
                <a:pPr algn="ctr"/>
                <a:t>Выручка 
 0р.</a:t>
              </a:fld>
              <a:endParaRPr lang="ru-RU" sz="1050" b="1"/>
            </a:p>
          </xdr:txBody>
        </xdr:sp>
      </xdr:grpSp>
      <xdr:sp macro="" textlink="$W$39">
        <xdr:nvSpPr>
          <xdr:cNvPr id="26" name="TextBox 25"/>
          <xdr:cNvSpPr txBox="1"/>
        </xdr:nvSpPr>
        <xdr:spPr>
          <a:xfrm>
            <a:off x="13211949" y="3081822"/>
            <a:ext cx="1404546" cy="2869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000B6FA2-5206-4207-9B4E-20D1F627AAE5}" type="TxLink">
              <a:rPr lang="ru-RU" sz="900" b="0" i="1">
                <a:solidFill>
                  <a:schemeClr val="bg2">
                    <a:lumMod val="25000"/>
                  </a:schemeClr>
                </a:solidFill>
              </a:rPr>
              <a:pPr/>
              <a:t>CVвстр-прод 0%</a:t>
            </a:fld>
            <a:endParaRPr lang="ru-RU" sz="900" b="0" i="1">
              <a:solidFill>
                <a:schemeClr val="bg2">
                  <a:lumMod val="25000"/>
                </a:schemeClr>
              </a:solidFill>
            </a:endParaRPr>
          </a:p>
        </xdr:txBody>
      </xdr:sp>
      <xdr:sp macro="" textlink="$W$38">
        <xdr:nvSpPr>
          <xdr:cNvPr id="27" name="TextBox 26"/>
          <xdr:cNvSpPr txBox="1"/>
        </xdr:nvSpPr>
        <xdr:spPr>
          <a:xfrm>
            <a:off x="13184518" y="2615864"/>
            <a:ext cx="1291537" cy="2660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3B9EC80-3D2E-4512-BEB4-93C39B16405F}" type="TxLink">
              <a:rPr lang="ru-RU" sz="900" b="0" i="1">
                <a:solidFill>
                  <a:schemeClr val="bg2">
                    <a:lumMod val="25000"/>
                  </a:schemeClr>
                </a:solidFill>
              </a:rPr>
              <a:pPr/>
              <a:t>CVзая-встр 0%</a:t>
            </a:fld>
            <a:endParaRPr lang="ru-RU" sz="900" b="0" i="1">
              <a:solidFill>
                <a:schemeClr val="bg2">
                  <a:lumMod val="25000"/>
                </a:schemeClr>
              </a:solidFill>
            </a:endParaRPr>
          </a:p>
        </xdr:txBody>
      </xdr:sp>
      <xdr:sp macro="" textlink="$W$37">
        <xdr:nvSpPr>
          <xdr:cNvPr id="28" name="TextBox 27"/>
          <xdr:cNvSpPr txBox="1"/>
        </xdr:nvSpPr>
        <xdr:spPr>
          <a:xfrm>
            <a:off x="13185355" y="1980704"/>
            <a:ext cx="1299336" cy="223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AF15195C-8FBF-48A4-8BE2-282E27E4F66E}" type="TxLink">
              <a:rPr lang="ru-RU" sz="900" b="0" i="1">
                <a:solidFill>
                  <a:schemeClr val="bg2">
                    <a:lumMod val="25000"/>
                  </a:schemeClr>
                </a:solidFill>
              </a:rPr>
              <a:pPr/>
              <a:t>CVкл-зая 0%</a:t>
            </a:fld>
            <a:endParaRPr lang="ru-RU" sz="900" b="0" i="1">
              <a:solidFill>
                <a:schemeClr val="bg2">
                  <a:lumMod val="2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1114425</xdr:colOff>
          <xdr:row>3</xdr:row>
          <xdr:rowOff>180975</xdr:rowOff>
        </xdr:from>
        <xdr:to>
          <xdr:col>4</xdr:col>
          <xdr:colOff>409575</xdr:colOff>
          <xdr:row>5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180975</xdr:rowOff>
        </xdr:from>
        <xdr:to>
          <xdr:col>17</xdr:col>
          <xdr:colOff>200025</xdr:colOff>
          <xdr:row>4</xdr:row>
          <xdr:rowOff>171450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460374</xdr:colOff>
      <xdr:row>3</xdr:row>
      <xdr:rowOff>173183</xdr:rowOff>
    </xdr:from>
    <xdr:to>
      <xdr:col>6</xdr:col>
      <xdr:colOff>173182</xdr:colOff>
      <xdr:row>5</xdr:row>
      <xdr:rowOff>1</xdr:rowOff>
    </xdr:to>
    <xdr:sp macro="[0]!sa_ve" textlink="">
      <xdr:nvSpPr>
        <xdr:cNvPr id="3" name="Скругленный прямоугольник 2"/>
        <xdr:cNvSpPr/>
      </xdr:nvSpPr>
      <xdr:spPr>
        <a:xfrm>
          <a:off x="2836813" y="173183"/>
          <a:ext cx="1021293" cy="211666"/>
        </a:xfrm>
        <a:prstGeom prst="roundRect">
          <a:avLst/>
        </a:prstGeom>
        <a:solidFill>
          <a:srgbClr val="FF5050"/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b="0" cap="none" spc="0">
              <a:ln>
                <a:noFill/>
              </a:ln>
              <a:solidFill>
                <a:schemeClr val="tx1"/>
              </a:solidFill>
              <a:effectLst/>
            </a:rPr>
            <a:t>Сохранить</a:t>
          </a:r>
        </a:p>
      </xdr:txBody>
    </xdr:sp>
    <xdr:clientData/>
  </xdr:twoCellAnchor>
  <xdr:twoCellAnchor>
    <xdr:from>
      <xdr:col>12</xdr:col>
      <xdr:colOff>28575</xdr:colOff>
      <xdr:row>4</xdr:row>
      <xdr:rowOff>11906</xdr:rowOff>
    </xdr:from>
    <xdr:to>
      <xdr:col>13</xdr:col>
      <xdr:colOff>321469</xdr:colOff>
      <xdr:row>5</xdr:row>
      <xdr:rowOff>47625</xdr:rowOff>
    </xdr:to>
    <xdr:sp macro="[0]!add" textlink="">
      <xdr:nvSpPr>
        <xdr:cNvPr id="15" name="Скругленный прямоугольник 14"/>
        <xdr:cNvSpPr/>
      </xdr:nvSpPr>
      <xdr:spPr>
        <a:xfrm>
          <a:off x="7839075" y="773906"/>
          <a:ext cx="1031082" cy="226219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900" u="sng">
              <a:solidFill>
                <a:schemeClr val="tx2"/>
              </a:solidFill>
            </a:rPr>
            <a:t>Добавить</a:t>
          </a:r>
          <a:r>
            <a:rPr lang="ru-RU" sz="900" u="sng" baseline="0">
              <a:solidFill>
                <a:schemeClr val="tx2"/>
              </a:solidFill>
            </a:rPr>
            <a:t> </a:t>
          </a:r>
          <a:r>
            <a:rPr lang="ru-RU" sz="900" u="sng">
              <a:solidFill>
                <a:schemeClr val="tx2"/>
              </a:solidFill>
            </a:rPr>
            <a:t>канал</a:t>
          </a:r>
        </a:p>
      </xdr:txBody>
    </xdr:sp>
    <xdr:clientData/>
  </xdr:twoCellAnchor>
  <xdr:twoCellAnchor editAs="oneCell">
    <xdr:from>
      <xdr:col>20</xdr:col>
      <xdr:colOff>0</xdr:colOff>
      <xdr:row>7</xdr:row>
      <xdr:rowOff>276225</xdr:rowOff>
    </xdr:from>
    <xdr:to>
      <xdr:col>21</xdr:col>
      <xdr:colOff>0</xdr:colOff>
      <xdr:row>24</xdr:row>
      <xdr:rowOff>180975</xdr:rowOff>
    </xdr:to>
    <xdr:pic>
      <xdr:nvPicPr>
        <xdr:cNvPr id="2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809625"/>
          <a:ext cx="61912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201372</xdr:colOff>
      <xdr:row>8</xdr:row>
      <xdr:rowOff>51127</xdr:rowOff>
    </xdr:from>
    <xdr:to>
      <xdr:col>18</xdr:col>
      <xdr:colOff>160361</xdr:colOff>
      <xdr:row>25</xdr:row>
      <xdr:rowOff>137584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2</xdr:row>
      <xdr:rowOff>154179</xdr:rowOff>
    </xdr:from>
    <xdr:to>
      <xdr:col>51</xdr:col>
      <xdr:colOff>0</xdr:colOff>
      <xdr:row>10</xdr:row>
      <xdr:rowOff>119016</xdr:rowOff>
    </xdr:to>
    <xdr:sp macro="" textlink="">
      <xdr:nvSpPr>
        <xdr:cNvPr id="84" name="Прямоугольник 83"/>
        <xdr:cNvSpPr/>
      </xdr:nvSpPr>
      <xdr:spPr>
        <a:xfrm>
          <a:off x="13748060" y="525886"/>
          <a:ext cx="6335751" cy="1695600"/>
        </a:xfrm>
        <a:prstGeom prst="rect">
          <a:avLst/>
        </a:prstGeom>
        <a:solidFill>
          <a:srgbClr val="CCECFF">
            <a:alpha val="24000"/>
          </a:srgbClr>
        </a:solidFill>
        <a:ln w="19050">
          <a:solidFill>
            <a:schemeClr val="accent5"/>
          </a:solidFill>
          <a:prstDash val="solid"/>
        </a:ln>
        <a:effectLst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57150</xdr:colOff>
      <xdr:row>2</xdr:row>
      <xdr:rowOff>151004</xdr:rowOff>
    </xdr:from>
    <xdr:to>
      <xdr:col>34</xdr:col>
      <xdr:colOff>95250</xdr:colOff>
      <xdr:row>10</xdr:row>
      <xdr:rowOff>115841</xdr:rowOff>
    </xdr:to>
    <xdr:sp macro="" textlink="">
      <xdr:nvSpPr>
        <xdr:cNvPr id="82" name="Прямоугольник 81"/>
        <xdr:cNvSpPr/>
      </xdr:nvSpPr>
      <xdr:spPr>
        <a:xfrm>
          <a:off x="7200900" y="522711"/>
          <a:ext cx="6426820" cy="1695600"/>
        </a:xfrm>
        <a:prstGeom prst="rect">
          <a:avLst/>
        </a:prstGeom>
        <a:solidFill>
          <a:srgbClr val="CCECFF">
            <a:alpha val="24000"/>
          </a:srgbClr>
        </a:solidFill>
        <a:ln w="19050">
          <a:solidFill>
            <a:schemeClr val="accent5"/>
          </a:solidFill>
          <a:prstDash val="solid"/>
        </a:ln>
        <a:effectLst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1361</xdr:colOff>
      <xdr:row>2</xdr:row>
      <xdr:rowOff>139391</xdr:rowOff>
    </xdr:from>
    <xdr:to>
      <xdr:col>17</xdr:col>
      <xdr:colOff>58079</xdr:colOff>
      <xdr:row>10</xdr:row>
      <xdr:rowOff>104542</xdr:rowOff>
    </xdr:to>
    <xdr:sp macro="" textlink="">
      <xdr:nvSpPr>
        <xdr:cNvPr id="3" name="Прямоугольник 2"/>
        <xdr:cNvSpPr/>
      </xdr:nvSpPr>
      <xdr:spPr>
        <a:xfrm>
          <a:off x="686696" y="511098"/>
          <a:ext cx="6387359" cy="1695914"/>
        </a:xfrm>
        <a:prstGeom prst="rect">
          <a:avLst/>
        </a:prstGeom>
        <a:solidFill>
          <a:srgbClr val="CCECFF">
            <a:alpha val="24000"/>
          </a:srgbClr>
        </a:solidFill>
        <a:ln w="19050">
          <a:solidFill>
            <a:schemeClr val="accent5"/>
          </a:solidFill>
          <a:prstDash val="solid"/>
        </a:ln>
        <a:effectLst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151003</xdr:colOff>
      <xdr:row>2</xdr:row>
      <xdr:rowOff>232981</xdr:rowOff>
    </xdr:from>
    <xdr:to>
      <xdr:col>12</xdr:col>
      <xdr:colOff>385412</xdr:colOff>
      <xdr:row>4</xdr:row>
      <xdr:rowOff>183995</xdr:rowOff>
    </xdr:to>
    <xdr:sp macro="" textlink="">
      <xdr:nvSpPr>
        <xdr:cNvPr id="6" name="Прямоугольник 5"/>
        <xdr:cNvSpPr/>
      </xdr:nvSpPr>
      <xdr:spPr>
        <a:xfrm>
          <a:off x="2416094" y="604688"/>
          <a:ext cx="2952519" cy="3808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2800" b="1" i="0" u="none">
              <a:solidFill>
                <a:schemeClr val="accent1">
                  <a:lumMod val="75000"/>
                </a:schemeClr>
              </a:solidFill>
            </a:rPr>
            <a:t>Чистая прибыль</a:t>
          </a:r>
        </a:p>
      </xdr:txBody>
    </xdr:sp>
    <xdr:clientData/>
  </xdr:twoCellAnchor>
  <xdr:twoCellAnchor>
    <xdr:from>
      <xdr:col>1</xdr:col>
      <xdr:colOff>101126</xdr:colOff>
      <xdr:row>7</xdr:row>
      <xdr:rowOff>267153</xdr:rowOff>
    </xdr:from>
    <xdr:to>
      <xdr:col>19</xdr:col>
      <xdr:colOff>64314</xdr:colOff>
      <xdr:row>10</xdr:row>
      <xdr:rowOff>54191</xdr:rowOff>
    </xdr:to>
    <xdr:grpSp>
      <xdr:nvGrpSpPr>
        <xdr:cNvPr id="4" name="Группа 3"/>
        <xdr:cNvGrpSpPr/>
      </xdr:nvGrpSpPr>
      <xdr:grpSpPr>
        <a:xfrm>
          <a:off x="647226" y="1664153"/>
          <a:ext cx="6503688" cy="536338"/>
          <a:chOff x="640503" y="1510062"/>
          <a:chExt cx="6512646" cy="425753"/>
        </a:xfrm>
      </xdr:grpSpPr>
      <xdr:sp macro="" textlink="">
        <xdr:nvSpPr>
          <xdr:cNvPr id="8" name="Прямоугольник 7"/>
          <xdr:cNvSpPr/>
        </xdr:nvSpPr>
        <xdr:spPr>
          <a:xfrm>
            <a:off x="640503" y="1670477"/>
            <a:ext cx="1237842" cy="26533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400" b="0">
                <a:solidFill>
                  <a:schemeClr val="accent1">
                    <a:lumMod val="75000"/>
                  </a:schemeClr>
                </a:solidFill>
              </a:rPr>
              <a:t>Выручка</a:t>
            </a:r>
            <a:endParaRPr lang="ru-RU" sz="1000" b="0">
              <a:solidFill>
                <a:schemeClr val="accent1">
                  <a:lumMod val="75000"/>
                </a:schemeClr>
              </a:solidFill>
            </a:endParaRPr>
          </a:p>
        </xdr:txBody>
      </xdr:sp>
      <xdr:sp macro="" textlink="">
        <xdr:nvSpPr>
          <xdr:cNvPr id="9" name="Прямоугольник 8"/>
          <xdr:cNvSpPr/>
        </xdr:nvSpPr>
        <xdr:spPr>
          <a:xfrm>
            <a:off x="2891900" y="1683064"/>
            <a:ext cx="1949976" cy="2136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400" b="0">
                <a:solidFill>
                  <a:schemeClr val="accent1">
                    <a:lumMod val="75000"/>
                  </a:schemeClr>
                </a:solidFill>
              </a:rPr>
              <a:t>Затраты на рекламу</a:t>
            </a:r>
          </a:p>
        </xdr:txBody>
      </xdr:sp>
      <xdr:sp macro="" textlink="">
        <xdr:nvSpPr>
          <xdr:cNvPr id="10" name="Прямоугольник 9"/>
          <xdr:cNvSpPr/>
        </xdr:nvSpPr>
        <xdr:spPr>
          <a:xfrm>
            <a:off x="5323239" y="1696887"/>
            <a:ext cx="1829910" cy="18845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400" b="0">
                <a:solidFill>
                  <a:schemeClr val="accent1">
                    <a:lumMod val="75000"/>
                  </a:schemeClr>
                </a:solidFill>
              </a:rPr>
              <a:t>Доп. затраты</a:t>
            </a:r>
          </a:p>
        </xdr:txBody>
      </xdr:sp>
      <xdr:sp macro="" textlink="">
        <xdr:nvSpPr>
          <xdr:cNvPr id="11" name="Прямоугольник 10"/>
          <xdr:cNvSpPr/>
        </xdr:nvSpPr>
        <xdr:spPr>
          <a:xfrm>
            <a:off x="1740210" y="1708550"/>
            <a:ext cx="1241927" cy="18981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400" b="0" i="0">
                <a:solidFill>
                  <a:schemeClr val="accent1">
                    <a:lumMod val="75000"/>
                  </a:schemeClr>
                </a:solidFill>
              </a:rPr>
              <a:t>Средний</a:t>
            </a:r>
            <a:r>
              <a:rPr lang="ru-RU" sz="1400" b="0" i="1">
                <a:solidFill>
                  <a:schemeClr val="accent1">
                    <a:lumMod val="75000"/>
                  </a:schemeClr>
                </a:solidFill>
              </a:rPr>
              <a:t> </a:t>
            </a:r>
            <a:r>
              <a:rPr lang="ru-RU" sz="1400" b="0" i="0">
                <a:solidFill>
                  <a:schemeClr val="accent1">
                    <a:lumMod val="75000"/>
                  </a:schemeClr>
                </a:solidFill>
              </a:rPr>
              <a:t>чек</a:t>
            </a:r>
          </a:p>
        </xdr:txBody>
      </xdr:sp>
      <xdr:sp macro="" textlink="">
        <xdr:nvSpPr>
          <xdr:cNvPr id="12" name="Прямоугольник 11"/>
          <xdr:cNvSpPr/>
        </xdr:nvSpPr>
        <xdr:spPr>
          <a:xfrm>
            <a:off x="4471548" y="1724554"/>
            <a:ext cx="1240567" cy="1428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0">
                <a:solidFill>
                  <a:schemeClr val="accent1">
                    <a:lumMod val="75000"/>
                  </a:schemeClr>
                </a:solidFill>
              </a:rPr>
              <a:t>ROI</a:t>
            </a:r>
            <a:endParaRPr lang="ru-RU" sz="1400" b="0">
              <a:solidFill>
                <a:schemeClr val="accent1">
                  <a:lumMod val="75000"/>
                </a:schemeClr>
              </a:solidFill>
            </a:endParaRPr>
          </a:p>
        </xdr:txBody>
      </xdr:sp>
      <xdr:sp macro="" textlink="$CJ$7">
        <xdr:nvSpPr>
          <xdr:cNvPr id="13" name="Прямоугольник 12"/>
          <xdr:cNvSpPr/>
        </xdr:nvSpPr>
        <xdr:spPr>
          <a:xfrm>
            <a:off x="660827" y="1560939"/>
            <a:ext cx="1266417" cy="16412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E50DE315-91FC-488D-92AE-19AF83C30C9F}" type="TxLink">
              <a:rPr lang="ru-RU" sz="1600" b="0" i="0">
                <a:solidFill>
                  <a:sysClr val="windowText" lastClr="000000"/>
                </a:solidFill>
              </a:rPr>
              <a:pPr algn="ctr"/>
              <a:t>#Н/Д</a:t>
            </a:fld>
            <a:endParaRPr lang="ru-RU" sz="1600" b="0" i="0">
              <a:solidFill>
                <a:sysClr val="windowText" lastClr="000000"/>
              </a:solidFill>
            </a:endParaRPr>
          </a:p>
        </xdr:txBody>
      </xdr:sp>
      <xdr:sp macro="" textlink="$CJ$8">
        <xdr:nvSpPr>
          <xdr:cNvPr id="14" name="Прямоугольник 13"/>
          <xdr:cNvSpPr/>
        </xdr:nvSpPr>
        <xdr:spPr>
          <a:xfrm>
            <a:off x="3058815" y="1560447"/>
            <a:ext cx="1681465" cy="16500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423DF610-49B1-448D-AD2E-3BED6BE629BB}" type="TxLink">
              <a:rPr lang="ru-RU" sz="1600" b="0" i="0" u="none">
                <a:solidFill>
                  <a:sysClr val="windowText" lastClr="000000"/>
                </a:solidFill>
              </a:rPr>
              <a:pPr algn="ctr"/>
              <a:t>#Н/Д</a:t>
            </a:fld>
            <a:endParaRPr lang="ru-RU" sz="1600" b="0" i="0" u="none">
              <a:solidFill>
                <a:sysClr val="windowText" lastClr="000000"/>
              </a:solidFill>
            </a:endParaRPr>
          </a:p>
        </xdr:txBody>
      </xdr:sp>
      <xdr:sp macro="" textlink="$CJ$9">
        <xdr:nvSpPr>
          <xdr:cNvPr id="15" name="Прямоугольник 14"/>
          <xdr:cNvSpPr/>
        </xdr:nvSpPr>
        <xdr:spPr>
          <a:xfrm>
            <a:off x="5556188" y="1510062"/>
            <a:ext cx="1344884" cy="27146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0071FF64-5741-4D4D-8AEF-C8F3817B1DFF}" type="TxLink">
              <a:rPr lang="ru-RU" sz="1600" b="0" i="0">
                <a:solidFill>
                  <a:sysClr val="windowText" lastClr="000000"/>
                </a:solidFill>
              </a:rPr>
              <a:pPr algn="ctr"/>
              <a:t>#Н/Д</a:t>
            </a:fld>
            <a:endParaRPr lang="ru-RU" sz="1600" b="0" i="0">
              <a:solidFill>
                <a:sysClr val="windowText" lastClr="000000"/>
              </a:solidFill>
            </a:endParaRPr>
          </a:p>
        </xdr:txBody>
      </xdr:sp>
      <xdr:sp macro="" textlink="$CJ$16">
        <xdr:nvSpPr>
          <xdr:cNvPr id="16" name="Прямоугольник 15"/>
          <xdr:cNvSpPr/>
        </xdr:nvSpPr>
        <xdr:spPr>
          <a:xfrm>
            <a:off x="1784386" y="1562570"/>
            <a:ext cx="1341709" cy="16412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EB635A3B-6BB2-4429-AF40-0B11CDCBF897}" type="TxLink">
              <a:rPr lang="ru-RU" sz="1600" b="0" i="0">
                <a:solidFill>
                  <a:sysClr val="windowText" lastClr="000000"/>
                </a:solidFill>
              </a:rPr>
              <a:pPr algn="ctr"/>
              <a:t>#Н/Д</a:t>
            </a:fld>
            <a:endParaRPr lang="ru-RU" sz="1600" b="0" i="0">
              <a:solidFill>
                <a:sysClr val="windowText" lastClr="000000"/>
              </a:solidFill>
            </a:endParaRPr>
          </a:p>
        </xdr:txBody>
      </xdr:sp>
      <xdr:sp macro="" textlink="$CJ$17">
        <xdr:nvSpPr>
          <xdr:cNvPr id="17" name="Прямоугольник 16"/>
          <xdr:cNvSpPr/>
        </xdr:nvSpPr>
        <xdr:spPr>
          <a:xfrm>
            <a:off x="4473365" y="1568789"/>
            <a:ext cx="134171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04E9BE12-06A8-4226-8EEB-8171EDA0FD52}" type="TxLink">
              <a:rPr lang="ru-RU" sz="1600" b="0" i="0">
                <a:solidFill>
                  <a:sysClr val="windowText" lastClr="000000"/>
                </a:solidFill>
              </a:rPr>
              <a:pPr algn="ctr"/>
              <a:t>#Н/Д</a:t>
            </a:fld>
            <a:endParaRPr lang="ru-RU" sz="1600" b="0" i="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424590</xdr:colOff>
      <xdr:row>4</xdr:row>
      <xdr:rowOff>154110</xdr:rowOff>
    </xdr:from>
    <xdr:to>
      <xdr:col>12</xdr:col>
      <xdr:colOff>113370</xdr:colOff>
      <xdr:row>7</xdr:row>
      <xdr:rowOff>54207</xdr:rowOff>
    </xdr:to>
    <xdr:sp macro="" textlink="$CJ$19">
      <xdr:nvSpPr>
        <xdr:cNvPr id="18" name="Прямоугольник 17"/>
        <xdr:cNvSpPr/>
      </xdr:nvSpPr>
      <xdr:spPr>
        <a:xfrm>
          <a:off x="2689681" y="955604"/>
          <a:ext cx="2406890" cy="457658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395870C-D9C6-4F61-B72C-8C6E6F31D965}" type="TxLink">
            <a:rPr lang="en-US" sz="3600" b="1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Calibri"/>
            </a:rPr>
            <a:pPr algn="ctr"/>
            <a:t>#Н/Д</a:t>
          </a:fld>
          <a:endParaRPr lang="ru-RU" sz="8800" b="1" i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21</xdr:col>
      <xdr:colOff>415018</xdr:colOff>
      <xdr:row>3</xdr:row>
      <xdr:rowOff>19052</xdr:rowOff>
    </xdr:from>
    <xdr:to>
      <xdr:col>31</xdr:col>
      <xdr:colOff>142875</xdr:colOff>
      <xdr:row>4</xdr:row>
      <xdr:rowOff>171450</xdr:rowOff>
    </xdr:to>
    <xdr:sp macro="" textlink="">
      <xdr:nvSpPr>
        <xdr:cNvPr id="21" name="Прямоугольник 20"/>
        <xdr:cNvSpPr/>
      </xdr:nvSpPr>
      <xdr:spPr>
        <a:xfrm>
          <a:off x="9130393" y="590552"/>
          <a:ext cx="4204607" cy="342898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2800" b="1" i="0" u="none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Продажи</a:t>
          </a:r>
        </a:p>
      </xdr:txBody>
    </xdr:sp>
    <xdr:clientData/>
  </xdr:twoCellAnchor>
  <xdr:twoCellAnchor>
    <xdr:from>
      <xdr:col>19</xdr:col>
      <xdr:colOff>231339</xdr:colOff>
      <xdr:row>8</xdr:row>
      <xdr:rowOff>57444</xdr:rowOff>
    </xdr:from>
    <xdr:to>
      <xdr:col>23</xdr:col>
      <xdr:colOff>14613</xdr:colOff>
      <xdr:row>10</xdr:row>
      <xdr:rowOff>36007</xdr:rowOff>
    </xdr:to>
    <xdr:sp macro="" textlink="">
      <xdr:nvSpPr>
        <xdr:cNvPr id="22" name="Прямоугольник 21"/>
        <xdr:cNvSpPr/>
      </xdr:nvSpPr>
      <xdr:spPr>
        <a:xfrm>
          <a:off x="7433168" y="1788206"/>
          <a:ext cx="1363030" cy="35027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Встречи</a:t>
          </a:r>
        </a:p>
      </xdr:txBody>
    </xdr:sp>
    <xdr:clientData/>
  </xdr:twoCellAnchor>
  <xdr:twoCellAnchor>
    <xdr:from>
      <xdr:col>23</xdr:col>
      <xdr:colOff>329257</xdr:colOff>
      <xdr:row>8</xdr:row>
      <xdr:rowOff>35773</xdr:rowOff>
    </xdr:from>
    <xdr:to>
      <xdr:col>29</xdr:col>
      <xdr:colOff>59584</xdr:colOff>
      <xdr:row>10</xdr:row>
      <xdr:rowOff>78289</xdr:rowOff>
    </xdr:to>
    <xdr:sp macro="" textlink="">
      <xdr:nvSpPr>
        <xdr:cNvPr id="23" name="Прямоугольник 22"/>
        <xdr:cNvSpPr/>
      </xdr:nvSpPr>
      <xdr:spPr>
        <a:xfrm>
          <a:off x="9110842" y="1766535"/>
          <a:ext cx="2448437" cy="41422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CV</a:t>
          </a:r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заяв-встр</a:t>
          </a:r>
        </a:p>
      </xdr:txBody>
    </xdr:sp>
    <xdr:clientData/>
  </xdr:twoCellAnchor>
  <xdr:twoCellAnchor>
    <xdr:from>
      <xdr:col>29</xdr:col>
      <xdr:colOff>65455</xdr:colOff>
      <xdr:row>8</xdr:row>
      <xdr:rowOff>45926</xdr:rowOff>
    </xdr:from>
    <xdr:to>
      <xdr:col>34</xdr:col>
      <xdr:colOff>88383</xdr:colOff>
      <xdr:row>10</xdr:row>
      <xdr:rowOff>66672</xdr:rowOff>
    </xdr:to>
    <xdr:sp macro="" textlink="">
      <xdr:nvSpPr>
        <xdr:cNvPr id="24" name="Прямоугольник 23"/>
        <xdr:cNvSpPr/>
      </xdr:nvSpPr>
      <xdr:spPr>
        <a:xfrm>
          <a:off x="11565150" y="1776688"/>
          <a:ext cx="2055703" cy="39245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Цена клиента</a:t>
          </a:r>
        </a:p>
      </xdr:txBody>
    </xdr:sp>
    <xdr:clientData/>
  </xdr:twoCellAnchor>
  <xdr:twoCellAnchor>
    <xdr:from>
      <xdr:col>19</xdr:col>
      <xdr:colOff>267330</xdr:colOff>
      <xdr:row>7</xdr:row>
      <xdr:rowOff>344288</xdr:rowOff>
    </xdr:from>
    <xdr:to>
      <xdr:col>23</xdr:col>
      <xdr:colOff>50604</xdr:colOff>
      <xdr:row>8</xdr:row>
      <xdr:rowOff>162855</xdr:rowOff>
    </xdr:to>
    <xdr:sp macro="" textlink="$CJ$5">
      <xdr:nvSpPr>
        <xdr:cNvPr id="25" name="Прямоугольник 24"/>
        <xdr:cNvSpPr/>
      </xdr:nvSpPr>
      <xdr:spPr>
        <a:xfrm>
          <a:off x="7469159" y="1703343"/>
          <a:ext cx="1363030" cy="1902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145B63CF-D78B-4CC5-B9D6-9A5F6D75827C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2627</xdr:colOff>
      <xdr:row>7</xdr:row>
      <xdr:rowOff>344290</xdr:rowOff>
    </xdr:from>
    <xdr:to>
      <xdr:col>29</xdr:col>
      <xdr:colOff>24428</xdr:colOff>
      <xdr:row>8</xdr:row>
      <xdr:rowOff>162855</xdr:rowOff>
    </xdr:to>
    <xdr:sp macro="" textlink="$CJ$11">
      <xdr:nvSpPr>
        <xdr:cNvPr id="26" name="Прямоугольник 25"/>
        <xdr:cNvSpPr/>
      </xdr:nvSpPr>
      <xdr:spPr>
        <a:xfrm>
          <a:off x="9237231" y="1703345"/>
          <a:ext cx="2286892" cy="190272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494C61A9-2CEF-47C3-BE57-9C5C92CBFC24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37952</xdr:colOff>
      <xdr:row>7</xdr:row>
      <xdr:rowOff>335494</xdr:rowOff>
    </xdr:from>
    <xdr:to>
      <xdr:col>33</xdr:col>
      <xdr:colOff>43786</xdr:colOff>
      <xdr:row>8</xdr:row>
      <xdr:rowOff>164944</xdr:rowOff>
    </xdr:to>
    <xdr:sp macro="" textlink="$CJ$15">
      <xdr:nvSpPr>
        <xdr:cNvPr id="27" name="Прямоугольник 26"/>
        <xdr:cNvSpPr/>
      </xdr:nvSpPr>
      <xdr:spPr>
        <a:xfrm>
          <a:off x="11990665" y="1694549"/>
          <a:ext cx="1364889" cy="201157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74AAC8DB-2F37-4B09-8619-E4E2490D9BFA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425312</xdr:colOff>
      <xdr:row>4</xdr:row>
      <xdr:rowOff>163287</xdr:rowOff>
    </xdr:from>
    <xdr:to>
      <xdr:col>29</xdr:col>
      <xdr:colOff>115250</xdr:colOff>
      <xdr:row>7</xdr:row>
      <xdr:rowOff>38099</xdr:rowOff>
    </xdr:to>
    <xdr:sp macro="" textlink="$CJ$6">
      <xdr:nvSpPr>
        <xdr:cNvPr id="28" name="Прямоугольник 27"/>
        <xdr:cNvSpPr/>
      </xdr:nvSpPr>
      <xdr:spPr>
        <a:xfrm>
          <a:off x="9176406" y="984818"/>
          <a:ext cx="2404563" cy="446312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CFC1BEF3-3BDE-47D9-8AF6-7008CBB3C2B1}" type="TxLink">
            <a:rPr lang="ru-RU" sz="3600" b="1" i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3600" b="1" i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37</xdr:col>
      <xdr:colOff>149661</xdr:colOff>
      <xdr:row>3</xdr:row>
      <xdr:rowOff>46158</xdr:rowOff>
    </xdr:from>
    <xdr:to>
      <xdr:col>50</xdr:col>
      <xdr:colOff>79446</xdr:colOff>
      <xdr:row>4</xdr:row>
      <xdr:rowOff>145030</xdr:rowOff>
    </xdr:to>
    <xdr:sp macro="" textlink="">
      <xdr:nvSpPr>
        <xdr:cNvPr id="30" name="Прямоугольник 29"/>
        <xdr:cNvSpPr/>
      </xdr:nvSpPr>
      <xdr:spPr>
        <a:xfrm>
          <a:off x="14187130" y="677189"/>
          <a:ext cx="5692410" cy="289372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2800" b="1" i="0" u="none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Заявки</a:t>
          </a:r>
        </a:p>
      </xdr:txBody>
    </xdr:sp>
    <xdr:clientData/>
  </xdr:twoCellAnchor>
  <xdr:twoCellAnchor>
    <xdr:from>
      <xdr:col>36</xdr:col>
      <xdr:colOff>335100</xdr:colOff>
      <xdr:row>8</xdr:row>
      <xdr:rowOff>81077</xdr:rowOff>
    </xdr:from>
    <xdr:to>
      <xdr:col>40</xdr:col>
      <xdr:colOff>117548</xdr:colOff>
      <xdr:row>10</xdr:row>
      <xdr:rowOff>74108</xdr:rowOff>
    </xdr:to>
    <xdr:sp macro="" textlink="">
      <xdr:nvSpPr>
        <xdr:cNvPr id="31" name="Прямоугольник 30"/>
        <xdr:cNvSpPr/>
      </xdr:nvSpPr>
      <xdr:spPr>
        <a:xfrm>
          <a:off x="14088271" y="1811839"/>
          <a:ext cx="1362204" cy="36473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Клики</a:t>
          </a:r>
        </a:p>
      </xdr:txBody>
    </xdr:sp>
    <xdr:clientData/>
  </xdr:twoCellAnchor>
  <xdr:twoCellAnchor>
    <xdr:from>
      <xdr:col>40</xdr:col>
      <xdr:colOff>450967</xdr:colOff>
      <xdr:row>8</xdr:row>
      <xdr:rowOff>52870</xdr:rowOff>
    </xdr:from>
    <xdr:to>
      <xdr:col>46</xdr:col>
      <xdr:colOff>177798</xdr:colOff>
      <xdr:row>10</xdr:row>
      <xdr:rowOff>67835</xdr:rowOff>
    </xdr:to>
    <xdr:sp macro="" textlink="">
      <xdr:nvSpPr>
        <xdr:cNvPr id="32" name="Прямоугольник 31"/>
        <xdr:cNvSpPr/>
      </xdr:nvSpPr>
      <xdr:spPr>
        <a:xfrm>
          <a:off x="15783894" y="1783632"/>
          <a:ext cx="2444941" cy="386673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CV</a:t>
          </a:r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кл-заявки</a:t>
          </a:r>
        </a:p>
      </xdr:txBody>
    </xdr:sp>
    <xdr:clientData/>
  </xdr:twoCellAnchor>
  <xdr:twoCellAnchor>
    <xdr:from>
      <xdr:col>46</xdr:col>
      <xdr:colOff>130819</xdr:colOff>
      <xdr:row>8</xdr:row>
      <xdr:rowOff>47562</xdr:rowOff>
    </xdr:from>
    <xdr:to>
      <xdr:col>74</xdr:col>
      <xdr:colOff>12701</xdr:colOff>
      <xdr:row>10</xdr:row>
      <xdr:rowOff>81833</xdr:rowOff>
    </xdr:to>
    <xdr:sp macro="" textlink="">
      <xdr:nvSpPr>
        <xdr:cNvPr id="33" name="Прямоугольник 32"/>
        <xdr:cNvSpPr/>
      </xdr:nvSpPr>
      <xdr:spPr>
        <a:xfrm>
          <a:off x="17860019" y="1812862"/>
          <a:ext cx="1875782" cy="41527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 b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Цена заявки</a:t>
          </a:r>
        </a:p>
      </xdr:txBody>
    </xdr:sp>
    <xdr:clientData/>
  </xdr:twoCellAnchor>
  <xdr:twoCellAnchor>
    <xdr:from>
      <xdr:col>37</xdr:col>
      <xdr:colOff>20971</xdr:colOff>
      <xdr:row>7</xdr:row>
      <xdr:rowOff>358088</xdr:rowOff>
    </xdr:from>
    <xdr:to>
      <xdr:col>40</xdr:col>
      <xdr:colOff>126339</xdr:colOff>
      <xdr:row>8</xdr:row>
      <xdr:rowOff>135364</xdr:rowOff>
    </xdr:to>
    <xdr:sp macro="" textlink="$CJ$3">
      <xdr:nvSpPr>
        <xdr:cNvPr id="34" name="Прямоугольник 33"/>
        <xdr:cNvSpPr/>
      </xdr:nvSpPr>
      <xdr:spPr>
        <a:xfrm>
          <a:off x="14111001" y="1717143"/>
          <a:ext cx="1348265" cy="148983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89535BDC-F466-4120-9C50-B975A12B2B40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90728</xdr:colOff>
      <xdr:row>7</xdr:row>
      <xdr:rowOff>319697</xdr:rowOff>
    </xdr:from>
    <xdr:to>
      <xdr:col>46</xdr:col>
      <xdr:colOff>108909</xdr:colOff>
      <xdr:row>8</xdr:row>
      <xdr:rowOff>167908</xdr:rowOff>
    </xdr:to>
    <xdr:sp macro="" textlink="$CJ$10">
      <xdr:nvSpPr>
        <xdr:cNvPr id="35" name="Прямоугольник 34"/>
        <xdr:cNvSpPr/>
      </xdr:nvSpPr>
      <xdr:spPr>
        <a:xfrm>
          <a:off x="15818884" y="1712728"/>
          <a:ext cx="2280369" cy="21730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807832C8-AE48-45C1-8EEC-3FC4A2543DA5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47</xdr:col>
      <xdr:colOff>34706</xdr:colOff>
      <xdr:row>7</xdr:row>
      <xdr:rowOff>320012</xdr:rowOff>
    </xdr:from>
    <xdr:to>
      <xdr:col>50</xdr:col>
      <xdr:colOff>11616</xdr:colOff>
      <xdr:row>8</xdr:row>
      <xdr:rowOff>169999</xdr:rowOff>
    </xdr:to>
    <xdr:sp macro="" textlink="$CJ$14">
      <xdr:nvSpPr>
        <xdr:cNvPr id="36" name="Прямоугольник 35"/>
        <xdr:cNvSpPr/>
      </xdr:nvSpPr>
      <xdr:spPr>
        <a:xfrm>
          <a:off x="18477487" y="1713043"/>
          <a:ext cx="1334223" cy="21908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243C473A-A4E9-4EB1-90B6-7C939E4A718F}" type="TxLink">
            <a:rPr lang="ru-RU" sz="16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16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58042</xdr:colOff>
      <xdr:row>4</xdr:row>
      <xdr:rowOff>164183</xdr:rowOff>
    </xdr:from>
    <xdr:to>
      <xdr:col>46</xdr:col>
      <xdr:colOff>197472</xdr:colOff>
      <xdr:row>7</xdr:row>
      <xdr:rowOff>19049</xdr:rowOff>
    </xdr:to>
    <xdr:sp macro="" textlink="$CJ$4">
      <xdr:nvSpPr>
        <xdr:cNvPr id="37" name="Прямоугольник 36"/>
        <xdr:cNvSpPr/>
      </xdr:nvSpPr>
      <xdr:spPr>
        <a:xfrm>
          <a:off x="15786198" y="985714"/>
          <a:ext cx="2401618" cy="426366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fld id="{BD3186C0-DE44-4573-B589-E9700ED75712}" type="TxLink">
            <a:rPr lang="ru-RU" sz="3600" b="1" i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#Н/Д</a:t>
          </a:fld>
          <a:endParaRPr lang="ru-RU" sz="3600" b="1" i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5865</xdr:colOff>
      <xdr:row>13</xdr:row>
      <xdr:rowOff>46463</xdr:rowOff>
    </xdr:from>
    <xdr:to>
      <xdr:col>17</xdr:col>
      <xdr:colOff>83342</xdr:colOff>
      <xdr:row>20</xdr:row>
      <xdr:rowOff>165544</xdr:rowOff>
    </xdr:to>
    <xdr:graphicFrame macro="">
      <xdr:nvGraphicFramePr>
        <xdr:cNvPr id="2052" name="Диаграмма 20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142875</xdr:colOff>
      <xdr:row>13</xdr:row>
      <xdr:rowOff>0</xdr:rowOff>
    </xdr:from>
    <xdr:to>
      <xdr:col>34</xdr:col>
      <xdr:colOff>85724</xdr:colOff>
      <xdr:row>21</xdr:row>
      <xdr:rowOff>4762</xdr:rowOff>
    </xdr:to>
    <xdr:graphicFrame macro="">
      <xdr:nvGraphicFramePr>
        <xdr:cNvPr id="44" name="Диаграмма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154782</xdr:colOff>
      <xdr:row>13</xdr:row>
      <xdr:rowOff>0</xdr:rowOff>
    </xdr:from>
    <xdr:to>
      <xdr:col>51</xdr:col>
      <xdr:colOff>85725</xdr:colOff>
      <xdr:row>21</xdr:row>
      <xdr:rowOff>4762</xdr:rowOff>
    </xdr:to>
    <xdr:graphicFrame macro="">
      <xdr:nvGraphicFramePr>
        <xdr:cNvPr id="45" name="Диаграмма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285751</xdr:colOff>
      <xdr:row>23</xdr:row>
      <xdr:rowOff>464344</xdr:rowOff>
    </xdr:from>
    <xdr:to>
      <xdr:col>17</xdr:col>
      <xdr:colOff>95251</xdr:colOff>
      <xdr:row>31</xdr:row>
      <xdr:rowOff>177450</xdr:rowOff>
    </xdr:to>
    <xdr:graphicFrame macro="">
      <xdr:nvGraphicFramePr>
        <xdr:cNvPr id="46" name="Диаграмма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154781</xdr:colOff>
      <xdr:row>24</xdr:row>
      <xdr:rowOff>0</xdr:rowOff>
    </xdr:from>
    <xdr:to>
      <xdr:col>34</xdr:col>
      <xdr:colOff>85723</xdr:colOff>
      <xdr:row>32</xdr:row>
      <xdr:rowOff>4762</xdr:rowOff>
    </xdr:to>
    <xdr:graphicFrame macro="">
      <xdr:nvGraphicFramePr>
        <xdr:cNvPr id="47" name="Диаграмма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166686</xdr:colOff>
      <xdr:row>24</xdr:row>
      <xdr:rowOff>0</xdr:rowOff>
    </xdr:from>
    <xdr:to>
      <xdr:col>51</xdr:col>
      <xdr:colOff>85724</xdr:colOff>
      <xdr:row>32</xdr:row>
      <xdr:rowOff>4762</xdr:rowOff>
    </xdr:to>
    <xdr:graphicFrame macro="">
      <xdr:nvGraphicFramePr>
        <xdr:cNvPr id="48" name="Диаграмма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285750</xdr:colOff>
      <xdr:row>46</xdr:row>
      <xdr:rowOff>47624</xdr:rowOff>
    </xdr:from>
    <xdr:to>
      <xdr:col>17</xdr:col>
      <xdr:colOff>95252</xdr:colOff>
      <xdr:row>53</xdr:row>
      <xdr:rowOff>177449</xdr:rowOff>
    </xdr:to>
    <xdr:graphicFrame macro="">
      <xdr:nvGraphicFramePr>
        <xdr:cNvPr id="49" name="Диаграмма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154781</xdr:colOff>
      <xdr:row>35</xdr:row>
      <xdr:rowOff>0</xdr:rowOff>
    </xdr:from>
    <xdr:to>
      <xdr:col>34</xdr:col>
      <xdr:colOff>85724</xdr:colOff>
      <xdr:row>43</xdr:row>
      <xdr:rowOff>4762</xdr:rowOff>
    </xdr:to>
    <xdr:graphicFrame macro="">
      <xdr:nvGraphicFramePr>
        <xdr:cNvPr id="50" name="Диаграмма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166687</xdr:colOff>
      <xdr:row>35</xdr:row>
      <xdr:rowOff>0</xdr:rowOff>
    </xdr:from>
    <xdr:to>
      <xdr:col>51</xdr:col>
      <xdr:colOff>85725</xdr:colOff>
      <xdr:row>43</xdr:row>
      <xdr:rowOff>4762</xdr:rowOff>
    </xdr:to>
    <xdr:graphicFrame macro="">
      <xdr:nvGraphicFramePr>
        <xdr:cNvPr id="51" name="Диаграмма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238125</xdr:colOff>
      <xdr:row>35</xdr:row>
      <xdr:rowOff>23812</xdr:rowOff>
    </xdr:from>
    <xdr:to>
      <xdr:col>17</xdr:col>
      <xdr:colOff>95250</xdr:colOff>
      <xdr:row>42</xdr:row>
      <xdr:rowOff>177450</xdr:rowOff>
    </xdr:to>
    <xdr:graphicFrame macro="">
      <xdr:nvGraphicFramePr>
        <xdr:cNvPr id="52" name="Диаграмма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5632</xdr:colOff>
      <xdr:row>46</xdr:row>
      <xdr:rowOff>11615</xdr:rowOff>
    </xdr:from>
    <xdr:to>
      <xdr:col>34</xdr:col>
      <xdr:colOff>85724</xdr:colOff>
      <xdr:row>54</xdr:row>
      <xdr:rowOff>4762</xdr:rowOff>
    </xdr:to>
    <xdr:graphicFrame macro="">
      <xdr:nvGraphicFramePr>
        <xdr:cNvPr id="53" name="Диаграмма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166687</xdr:colOff>
      <xdr:row>46</xdr:row>
      <xdr:rowOff>0</xdr:rowOff>
    </xdr:from>
    <xdr:to>
      <xdr:col>51</xdr:col>
      <xdr:colOff>85724</xdr:colOff>
      <xdr:row>54</xdr:row>
      <xdr:rowOff>4762</xdr:rowOff>
    </xdr:to>
    <xdr:graphicFrame macro="">
      <xdr:nvGraphicFramePr>
        <xdr:cNvPr id="54" name="Диаграмма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276225</xdr:colOff>
          <xdr:row>0</xdr:row>
          <xdr:rowOff>180975</xdr:rowOff>
        </xdr:from>
        <xdr:to>
          <xdr:col>30</xdr:col>
          <xdr:colOff>219075</xdr:colOff>
          <xdr:row>2</xdr:row>
          <xdr:rowOff>47625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180975</xdr:colOff>
          <xdr:row>55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6206</xdr:colOff>
      <xdr:row>12</xdr:row>
      <xdr:rowOff>442232</xdr:rowOff>
    </xdr:from>
    <xdr:to>
      <xdr:col>17</xdr:col>
      <xdr:colOff>81642</xdr:colOff>
      <xdr:row>13</xdr:row>
      <xdr:rowOff>46463</xdr:rowOff>
    </xdr:to>
    <xdr:sp macro="" textlink="">
      <xdr:nvSpPr>
        <xdr:cNvPr id="56" name="Прямоугольник 55"/>
        <xdr:cNvSpPr/>
      </xdr:nvSpPr>
      <xdr:spPr>
        <a:xfrm>
          <a:off x="691541" y="2672476"/>
          <a:ext cx="6406077" cy="324414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ru-RU" sz="1600" b="0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Чистая</a:t>
          </a:r>
          <a:r>
            <a:rPr lang="ru-RU" sz="1600" b="0" cap="none" spc="5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 </a:t>
          </a:r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прибыль</a:t>
          </a:r>
        </a:p>
      </xdr:txBody>
    </xdr:sp>
    <xdr:clientData/>
  </xdr:twoCellAnchor>
  <xdr:twoCellAnchor>
    <xdr:from>
      <xdr:col>1</xdr:col>
      <xdr:colOff>297656</xdr:colOff>
      <xdr:row>23</xdr:row>
      <xdr:rowOff>159202</xdr:rowOff>
    </xdr:from>
    <xdr:to>
      <xdr:col>17</xdr:col>
      <xdr:colOff>93550</xdr:colOff>
      <xdr:row>23</xdr:row>
      <xdr:rowOff>479602</xdr:rowOff>
    </xdr:to>
    <xdr:sp macro="" textlink="">
      <xdr:nvSpPr>
        <xdr:cNvPr id="57" name="Прямоугольник 56"/>
        <xdr:cNvSpPr/>
      </xdr:nvSpPr>
      <xdr:spPr>
        <a:xfrm>
          <a:off x="1316831" y="4693102"/>
          <a:ext cx="6387194" cy="3204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Средний чек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9525</xdr:rowOff>
        </xdr:from>
        <xdr:to>
          <xdr:col>3</xdr:col>
          <xdr:colOff>180975</xdr:colOff>
          <xdr:row>57</xdr:row>
          <xdr:rowOff>47625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323850</xdr:colOff>
      <xdr:row>34</xdr:row>
      <xdr:rowOff>204104</xdr:rowOff>
    </xdr:from>
    <xdr:to>
      <xdr:col>17</xdr:col>
      <xdr:colOff>104775</xdr:colOff>
      <xdr:row>35</xdr:row>
      <xdr:rowOff>10154</xdr:rowOff>
    </xdr:to>
    <xdr:sp macro="" textlink="">
      <xdr:nvSpPr>
        <xdr:cNvPr id="58" name="Прямоугольник 57"/>
        <xdr:cNvSpPr/>
      </xdr:nvSpPr>
      <xdr:spPr>
        <a:xfrm>
          <a:off x="1343025" y="7128779"/>
          <a:ext cx="6372225" cy="3204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Выручка</a:t>
          </a:r>
        </a:p>
      </xdr:txBody>
    </xdr:sp>
    <xdr:clientData/>
  </xdr:twoCellAnchor>
  <xdr:twoCellAnchor>
    <xdr:from>
      <xdr:col>1</xdr:col>
      <xdr:colOff>304800</xdr:colOff>
      <xdr:row>45</xdr:row>
      <xdr:rowOff>159544</xdr:rowOff>
    </xdr:from>
    <xdr:to>
      <xdr:col>17</xdr:col>
      <xdr:colOff>93265</xdr:colOff>
      <xdr:row>46</xdr:row>
      <xdr:rowOff>51319</xdr:rowOff>
    </xdr:to>
    <xdr:sp macro="" textlink="">
      <xdr:nvSpPr>
        <xdr:cNvPr id="59" name="Прямоугольник 58"/>
        <xdr:cNvSpPr/>
      </xdr:nvSpPr>
      <xdr:spPr>
        <a:xfrm>
          <a:off x="1323975" y="9503569"/>
          <a:ext cx="6379765" cy="3204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Реклама + дополнительные затраты</a:t>
          </a:r>
        </a:p>
      </xdr:txBody>
    </xdr:sp>
    <xdr:clientData/>
  </xdr:twoCellAnchor>
  <xdr:twoCellAnchor>
    <xdr:from>
      <xdr:col>18</xdr:col>
      <xdr:colOff>142875</xdr:colOff>
      <xdr:row>12</xdr:row>
      <xdr:rowOff>438150</xdr:rowOff>
    </xdr:from>
    <xdr:to>
      <xdr:col>34</xdr:col>
      <xdr:colOff>83343</xdr:colOff>
      <xdr:row>13</xdr:row>
      <xdr:rowOff>14251</xdr:rowOff>
    </xdr:to>
    <xdr:sp macro="" textlink="">
      <xdr:nvSpPr>
        <xdr:cNvPr id="60" name="Прямоугольник 59"/>
        <xdr:cNvSpPr/>
      </xdr:nvSpPr>
      <xdr:spPr>
        <a:xfrm>
          <a:off x="7972425" y="2343150"/>
          <a:ext cx="6417468" cy="300001"/>
        </a:xfrm>
        <a:prstGeom prst="rect">
          <a:avLst/>
        </a:prstGeom>
        <a:noFill/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 anchor="ctr">
          <a:noAutofit/>
        </a:bodyPr>
        <a:lstStyle/>
        <a:p>
          <a:pPr algn="ctr"/>
          <a:r>
            <a:rPr lang="ru-RU" sz="1600" b="0" i="0" cap="none" spc="0">
              <a:ln w="13500">
                <a:solidFill>
                  <a:schemeClr val="bg1">
                    <a:alpha val="6500"/>
                  </a:schemeClr>
                </a:solidFill>
                <a:prstDash val="solid"/>
              </a:ln>
              <a:solidFill>
                <a:sysClr val="windowText" lastClr="000000">
                  <a:alpha val="95000"/>
                </a:sysClr>
              </a:solidFill>
              <a:effectLst/>
            </a:rPr>
            <a:t>Конверсия</a:t>
          </a:r>
          <a:r>
            <a:rPr lang="ru-RU" sz="1600" b="0" i="0" cap="none" spc="0" baseline="0">
              <a:ln w="13500">
                <a:solidFill>
                  <a:schemeClr val="bg1">
                    <a:alpha val="6500"/>
                  </a:schemeClr>
                </a:solidFill>
                <a:prstDash val="solid"/>
              </a:ln>
              <a:solidFill>
                <a:sysClr val="windowText" lastClr="000000">
                  <a:alpha val="95000"/>
                </a:sysClr>
              </a:solidFill>
              <a:effectLst/>
            </a:rPr>
            <a:t> клики-заявки</a:t>
          </a:r>
          <a:endParaRPr lang="ru-RU" sz="1600" b="0" i="0" cap="none" spc="0">
            <a:ln w="13500">
              <a:solidFill>
                <a:schemeClr val="bg1">
                  <a:alpha val="6500"/>
                </a:schemeClr>
              </a:solidFill>
              <a:prstDash val="solid"/>
            </a:ln>
            <a:solidFill>
              <a:sysClr val="windowText" lastClr="000000">
                <a:alpha val="95000"/>
              </a:sysClr>
            </a:solidFill>
            <a:effectLst/>
          </a:endParaRPr>
        </a:p>
      </xdr:txBody>
    </xdr:sp>
    <xdr:clientData/>
  </xdr:twoCellAnchor>
  <xdr:twoCellAnchor>
    <xdr:from>
      <xdr:col>2</xdr:col>
      <xdr:colOff>42628</xdr:colOff>
      <xdr:row>11</xdr:row>
      <xdr:rowOff>142874</xdr:rowOff>
    </xdr:from>
    <xdr:to>
      <xdr:col>75</xdr:col>
      <xdr:colOff>0</xdr:colOff>
      <xdr:row>12</xdr:row>
      <xdr:rowOff>326193</xdr:rowOff>
    </xdr:to>
    <xdr:sp macro="" textlink="">
      <xdr:nvSpPr>
        <xdr:cNvPr id="61" name="Прямоугольник 60"/>
        <xdr:cNvSpPr/>
      </xdr:nvSpPr>
      <xdr:spPr>
        <a:xfrm>
          <a:off x="727963" y="2431197"/>
          <a:ext cx="19646244" cy="36917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ru-RU" sz="2000" b="1" i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ysClr val="windowText" lastClr="000000">
                  <a:alpha val="95000"/>
                </a:sys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Динамика основных показателей</a:t>
          </a:r>
        </a:p>
      </xdr:txBody>
    </xdr:sp>
    <xdr:clientData/>
  </xdr:twoCellAnchor>
  <xdr:twoCellAnchor>
    <xdr:from>
      <xdr:col>18</xdr:col>
      <xdr:colOff>154782</xdr:colOff>
      <xdr:row>23</xdr:row>
      <xdr:rowOff>171450</xdr:rowOff>
    </xdr:from>
    <xdr:to>
      <xdr:col>34</xdr:col>
      <xdr:colOff>81357</xdr:colOff>
      <xdr:row>23</xdr:row>
      <xdr:rowOff>470250</xdr:rowOff>
    </xdr:to>
    <xdr:sp macro="" textlink="">
      <xdr:nvSpPr>
        <xdr:cNvPr id="62" name="Прямоугольник 61"/>
        <xdr:cNvSpPr/>
      </xdr:nvSpPr>
      <xdr:spPr>
        <a:xfrm>
          <a:off x="7984332" y="4705350"/>
          <a:ext cx="6403575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Конверсия заявки-встречи</a:t>
          </a:r>
        </a:p>
      </xdr:txBody>
    </xdr:sp>
    <xdr:clientData/>
  </xdr:twoCellAnchor>
  <xdr:twoCellAnchor>
    <xdr:from>
      <xdr:col>18</xdr:col>
      <xdr:colOff>154782</xdr:colOff>
      <xdr:row>34</xdr:row>
      <xdr:rowOff>208867</xdr:rowOff>
    </xdr:from>
    <xdr:to>
      <xdr:col>34</xdr:col>
      <xdr:colOff>84957</xdr:colOff>
      <xdr:row>34</xdr:row>
      <xdr:rowOff>507667</xdr:rowOff>
    </xdr:to>
    <xdr:sp macro="" textlink="">
      <xdr:nvSpPr>
        <xdr:cNvPr id="63" name="Прямоугольник 62"/>
        <xdr:cNvSpPr/>
      </xdr:nvSpPr>
      <xdr:spPr>
        <a:xfrm>
          <a:off x="7984332" y="7133542"/>
          <a:ext cx="6407175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Конверсия встречи-продажи</a:t>
          </a:r>
        </a:p>
      </xdr:txBody>
    </xdr:sp>
    <xdr:clientData/>
  </xdr:twoCellAnchor>
  <xdr:twoCellAnchor>
    <xdr:from>
      <xdr:col>18</xdr:col>
      <xdr:colOff>154782</xdr:colOff>
      <xdr:row>45</xdr:row>
      <xdr:rowOff>152399</xdr:rowOff>
    </xdr:from>
    <xdr:to>
      <xdr:col>34</xdr:col>
      <xdr:colOff>84957</xdr:colOff>
      <xdr:row>46</xdr:row>
      <xdr:rowOff>22574</xdr:rowOff>
    </xdr:to>
    <xdr:sp macro="" textlink="">
      <xdr:nvSpPr>
        <xdr:cNvPr id="64" name="Прямоугольник 63"/>
        <xdr:cNvSpPr/>
      </xdr:nvSpPr>
      <xdr:spPr>
        <a:xfrm>
          <a:off x="7984332" y="9496424"/>
          <a:ext cx="6407175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en-US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ROI</a:t>
          </a:r>
          <a:endParaRPr lang="ru-RU" sz="1600" b="0" cap="none" spc="0" baseline="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rgbClr val="333333"/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168392</xdr:colOff>
      <xdr:row>12</xdr:row>
      <xdr:rowOff>431004</xdr:rowOff>
    </xdr:from>
    <xdr:to>
      <xdr:col>51</xdr:col>
      <xdr:colOff>82978</xdr:colOff>
      <xdr:row>13</xdr:row>
      <xdr:rowOff>5904</xdr:rowOff>
    </xdr:to>
    <xdr:sp macro="" textlink="">
      <xdr:nvSpPr>
        <xdr:cNvPr id="65" name="Прямоугольник 64"/>
        <xdr:cNvSpPr/>
      </xdr:nvSpPr>
      <xdr:spPr>
        <a:xfrm>
          <a:off x="14694017" y="2336004"/>
          <a:ext cx="6391586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Клики</a:t>
          </a:r>
        </a:p>
      </xdr:txBody>
    </xdr:sp>
    <xdr:clientData/>
  </xdr:twoCellAnchor>
  <xdr:twoCellAnchor>
    <xdr:from>
      <xdr:col>35</xdr:col>
      <xdr:colOff>180296</xdr:colOff>
      <xdr:row>23</xdr:row>
      <xdr:rowOff>175529</xdr:rowOff>
    </xdr:from>
    <xdr:to>
      <xdr:col>51</xdr:col>
      <xdr:colOff>76882</xdr:colOff>
      <xdr:row>23</xdr:row>
      <xdr:rowOff>474329</xdr:rowOff>
    </xdr:to>
    <xdr:sp macro="" textlink="">
      <xdr:nvSpPr>
        <xdr:cNvPr id="66" name="Прямоугольник 65"/>
        <xdr:cNvSpPr/>
      </xdr:nvSpPr>
      <xdr:spPr>
        <a:xfrm>
          <a:off x="14705921" y="4709429"/>
          <a:ext cx="6373586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Заявки</a:t>
          </a:r>
        </a:p>
      </xdr:txBody>
    </xdr:sp>
    <xdr:clientData/>
  </xdr:twoCellAnchor>
  <xdr:twoCellAnchor>
    <xdr:from>
      <xdr:col>35</xdr:col>
      <xdr:colOff>176897</xdr:colOff>
      <xdr:row>34</xdr:row>
      <xdr:rowOff>212270</xdr:rowOff>
    </xdr:from>
    <xdr:to>
      <xdr:col>51</xdr:col>
      <xdr:colOff>80683</xdr:colOff>
      <xdr:row>34</xdr:row>
      <xdr:rowOff>511070</xdr:rowOff>
    </xdr:to>
    <xdr:sp macro="" textlink="">
      <xdr:nvSpPr>
        <xdr:cNvPr id="67" name="Прямоугольник 66"/>
        <xdr:cNvSpPr/>
      </xdr:nvSpPr>
      <xdr:spPr>
        <a:xfrm>
          <a:off x="14702522" y="7136945"/>
          <a:ext cx="6380786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Встречи</a:t>
          </a:r>
        </a:p>
      </xdr:txBody>
    </xdr:sp>
    <xdr:clientData/>
  </xdr:twoCellAnchor>
  <xdr:twoCellAnchor>
    <xdr:from>
      <xdr:col>35</xdr:col>
      <xdr:colOff>176893</xdr:colOff>
      <xdr:row>45</xdr:row>
      <xdr:rowOff>140153</xdr:rowOff>
    </xdr:from>
    <xdr:to>
      <xdr:col>51</xdr:col>
      <xdr:colOff>87879</xdr:colOff>
      <xdr:row>46</xdr:row>
      <xdr:rowOff>10328</xdr:rowOff>
    </xdr:to>
    <xdr:sp macro="" textlink="">
      <xdr:nvSpPr>
        <xdr:cNvPr id="68" name="Прямоугольник 67"/>
        <xdr:cNvSpPr/>
      </xdr:nvSpPr>
      <xdr:spPr>
        <a:xfrm>
          <a:off x="14702518" y="9484178"/>
          <a:ext cx="6387986" cy="298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marL="0" indent="0" algn="ctr"/>
          <a:r>
            <a:rPr lang="ru-RU" sz="1600" b="0" cap="none" spc="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333333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latin typeface="+mn-lt"/>
              <a:ea typeface="+mn-ea"/>
              <a:cs typeface="+mn-cs"/>
            </a:rPr>
            <a:t>Продажи</a:t>
          </a:r>
        </a:p>
      </xdr:txBody>
    </xdr:sp>
    <xdr:clientData/>
  </xdr:twoCellAnchor>
  <xdr:twoCellAnchor>
    <xdr:from>
      <xdr:col>22</xdr:col>
      <xdr:colOff>367387</xdr:colOff>
      <xdr:row>0</xdr:row>
      <xdr:rowOff>172811</xdr:rowOff>
    </xdr:from>
    <xdr:to>
      <xdr:col>26</xdr:col>
      <xdr:colOff>214988</xdr:colOff>
      <xdr:row>2</xdr:row>
      <xdr:rowOff>36739</xdr:rowOff>
    </xdr:to>
    <xdr:sp macro="" textlink="">
      <xdr:nvSpPr>
        <xdr:cNvPr id="5" name="Прямоугольник 4"/>
        <xdr:cNvSpPr/>
      </xdr:nvSpPr>
      <xdr:spPr>
        <a:xfrm>
          <a:off x="9739987" y="172811"/>
          <a:ext cx="1676401" cy="2449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ru-RU" sz="1500" b="1" baseline="0">
              <a:solidFill>
                <a:schemeClr val="tx1"/>
              </a:solidFill>
            </a:rPr>
            <a:t>Выберите месяц</a:t>
          </a:r>
          <a:r>
            <a:rPr lang="ru-RU" sz="1500" baseline="0">
              <a:solidFill>
                <a:schemeClr val="tx1"/>
              </a:solidFill>
            </a:rPr>
            <a:t>:</a:t>
          </a:r>
        </a:p>
      </xdr:txBody>
    </xdr:sp>
    <xdr:clientData/>
  </xdr:twoCellAnchor>
  <xdr:twoCellAnchor>
    <xdr:from>
      <xdr:col>2</xdr:col>
      <xdr:colOff>2125</xdr:colOff>
      <xdr:row>12</xdr:row>
      <xdr:rowOff>429786</xdr:rowOff>
    </xdr:from>
    <xdr:to>
      <xdr:col>17</xdr:col>
      <xdr:colOff>95251</xdr:colOff>
      <xdr:row>58</xdr:row>
      <xdr:rowOff>65239</xdr:rowOff>
    </xdr:to>
    <xdr:sp macro="" textlink="">
      <xdr:nvSpPr>
        <xdr:cNvPr id="69" name="Прямоугольник 68"/>
        <xdr:cNvSpPr/>
      </xdr:nvSpPr>
      <xdr:spPr>
        <a:xfrm>
          <a:off x="693666" y="3000231"/>
          <a:ext cx="6316996" cy="9995522"/>
        </a:xfrm>
        <a:prstGeom prst="rect">
          <a:avLst/>
        </a:prstGeom>
        <a:noFill/>
        <a:ln>
          <a:prstDash val="sysDash"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18006</xdr:colOff>
      <xdr:row>12</xdr:row>
      <xdr:rowOff>428624</xdr:rowOff>
    </xdr:from>
    <xdr:to>
      <xdr:col>34</xdr:col>
      <xdr:colOff>117823</xdr:colOff>
      <xdr:row>58</xdr:row>
      <xdr:rowOff>65238</xdr:rowOff>
    </xdr:to>
    <xdr:sp macro="" textlink="">
      <xdr:nvSpPr>
        <xdr:cNvPr id="73" name="Прямоугольник 72"/>
        <xdr:cNvSpPr/>
      </xdr:nvSpPr>
      <xdr:spPr>
        <a:xfrm>
          <a:off x="7103040" y="2999069"/>
          <a:ext cx="6323687" cy="9996683"/>
        </a:xfrm>
        <a:prstGeom prst="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  <a:prstDash val="sysDash"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36</xdr:col>
      <xdr:colOff>1656</xdr:colOff>
      <xdr:row>12</xdr:row>
      <xdr:rowOff>438150</xdr:rowOff>
    </xdr:from>
    <xdr:to>
      <xdr:col>51</xdr:col>
      <xdr:colOff>0</xdr:colOff>
      <xdr:row>58</xdr:row>
      <xdr:rowOff>66261</xdr:rowOff>
    </xdr:to>
    <xdr:sp macro="" textlink="">
      <xdr:nvSpPr>
        <xdr:cNvPr id="77" name="Прямоугольник 76"/>
        <xdr:cNvSpPr/>
      </xdr:nvSpPr>
      <xdr:spPr>
        <a:xfrm>
          <a:off x="13576852" y="2964346"/>
          <a:ext cx="6243431" cy="9782589"/>
        </a:xfrm>
        <a:prstGeom prst="rect">
          <a:avLst/>
        </a:prstGeom>
        <a:noFill/>
        <a:ln>
          <a:solidFill>
            <a:schemeClr val="accent4">
              <a:lumMod val="60000"/>
              <a:lumOff val="40000"/>
            </a:schemeClr>
          </a:solidFill>
          <a:prstDash val="sysDash"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209086</xdr:colOff>
      <xdr:row>7</xdr:row>
      <xdr:rowOff>197469</xdr:rowOff>
    </xdr:from>
    <xdr:to>
      <xdr:col>16</xdr:col>
      <xdr:colOff>23232</xdr:colOff>
      <xdr:row>7</xdr:row>
      <xdr:rowOff>209086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894421" y="1556524"/>
          <a:ext cx="5924085" cy="11617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219772</xdr:colOff>
      <xdr:row>7</xdr:row>
      <xdr:rowOff>197466</xdr:rowOff>
    </xdr:from>
    <xdr:to>
      <xdr:col>33</xdr:col>
      <xdr:colOff>33918</xdr:colOff>
      <xdr:row>7</xdr:row>
      <xdr:rowOff>209083</xdr:rowOff>
    </xdr:to>
    <xdr:cxnSp macro="">
      <xdr:nvCxnSpPr>
        <xdr:cNvPr id="79" name="Прямая соединительная линия 78"/>
        <xdr:cNvCxnSpPr/>
      </xdr:nvCxnSpPr>
      <xdr:spPr>
        <a:xfrm flipV="1">
          <a:off x="7421601" y="1556521"/>
          <a:ext cx="5924085" cy="11617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169127</xdr:colOff>
      <xdr:row>7</xdr:row>
      <xdr:rowOff>189026</xdr:rowOff>
    </xdr:from>
    <xdr:to>
      <xdr:col>49</xdr:col>
      <xdr:colOff>436292</xdr:colOff>
      <xdr:row>7</xdr:row>
      <xdr:rowOff>200643</xdr:rowOff>
    </xdr:to>
    <xdr:cxnSp macro="">
      <xdr:nvCxnSpPr>
        <xdr:cNvPr id="83" name="Прямая соединительная линия 82"/>
        <xdr:cNvCxnSpPr/>
      </xdr:nvCxnSpPr>
      <xdr:spPr>
        <a:xfrm flipV="1">
          <a:off x="13922298" y="1548081"/>
          <a:ext cx="5924085" cy="11617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222249</xdr:colOff>
      <xdr:row>15</xdr:row>
      <xdr:rowOff>148167</xdr:rowOff>
    </xdr:from>
    <xdr:to>
      <xdr:col>25</xdr:col>
      <xdr:colOff>497416</xdr:colOff>
      <xdr:row>15</xdr:row>
      <xdr:rowOff>148167</xdr:rowOff>
    </xdr:to>
    <xdr:cxnSp macro="">
      <xdr:nvCxnSpPr>
        <xdr:cNvPr id="5" name="Прямая соединительная линия 4"/>
        <xdr:cNvCxnSpPr/>
      </xdr:nvCxnSpPr>
      <xdr:spPr>
        <a:xfrm>
          <a:off x="8879416" y="3386667"/>
          <a:ext cx="2529417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432859</xdr:colOff>
      <xdr:row>8</xdr:row>
      <xdr:rowOff>219075</xdr:rowOff>
    </xdr:from>
    <xdr:to>
      <xdr:col>25</xdr:col>
      <xdr:colOff>509059</xdr:colOff>
      <xdr:row>22</xdr:row>
      <xdr:rowOff>23813</xdr:rowOff>
    </xdr:to>
    <xdr:graphicFrame macro="">
      <xdr:nvGraphicFramePr>
        <xdr:cNvPr id="54" name="Диаграмма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38100</xdr:rowOff>
        </xdr:from>
        <xdr:to>
          <xdr:col>8</xdr:col>
          <xdr:colOff>561975</xdr:colOff>
          <xdr:row>28</xdr:row>
          <xdr:rowOff>371475</xdr:rowOff>
        </xdr:to>
        <xdr:sp macro="" textlink="">
          <xdr:nvSpPr>
            <xdr:cNvPr id="6148" name="Scroll Bar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38100</xdr:rowOff>
        </xdr:from>
        <xdr:to>
          <xdr:col>8</xdr:col>
          <xdr:colOff>561975</xdr:colOff>
          <xdr:row>29</xdr:row>
          <xdr:rowOff>371475</xdr:rowOff>
        </xdr:to>
        <xdr:sp macro="" textlink="">
          <xdr:nvSpPr>
            <xdr:cNvPr id="6149" name="Scroll Bar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38100</xdr:rowOff>
        </xdr:from>
        <xdr:to>
          <xdr:col>8</xdr:col>
          <xdr:colOff>561975</xdr:colOff>
          <xdr:row>30</xdr:row>
          <xdr:rowOff>371475</xdr:rowOff>
        </xdr:to>
        <xdr:sp macro="" textlink="">
          <xdr:nvSpPr>
            <xdr:cNvPr id="6150" name="Scroll Bar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47625</xdr:rowOff>
        </xdr:from>
        <xdr:to>
          <xdr:col>8</xdr:col>
          <xdr:colOff>561975</xdr:colOff>
          <xdr:row>31</xdr:row>
          <xdr:rowOff>381000</xdr:rowOff>
        </xdr:to>
        <xdr:sp macro="" textlink="">
          <xdr:nvSpPr>
            <xdr:cNvPr id="6151" name="Scroll Bar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47625</xdr:rowOff>
        </xdr:from>
        <xdr:to>
          <xdr:col>8</xdr:col>
          <xdr:colOff>552450</xdr:colOff>
          <xdr:row>34</xdr:row>
          <xdr:rowOff>381000</xdr:rowOff>
        </xdr:to>
        <xdr:sp macro="" textlink="">
          <xdr:nvSpPr>
            <xdr:cNvPr id="6152" name="Scroll Bar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</xdr:row>
          <xdr:rowOff>19050</xdr:rowOff>
        </xdr:from>
        <xdr:to>
          <xdr:col>19</xdr:col>
          <xdr:colOff>133350</xdr:colOff>
          <xdr:row>1</xdr:row>
          <xdr:rowOff>266700</xdr:rowOff>
        </xdr:to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9525</xdr:rowOff>
        </xdr:from>
        <xdr:to>
          <xdr:col>15</xdr:col>
          <xdr:colOff>466725</xdr:colOff>
          <xdr:row>9</xdr:row>
          <xdr:rowOff>171450</xdr:rowOff>
        </xdr:to>
        <xdr:sp macro="" textlink="">
          <xdr:nvSpPr>
            <xdr:cNvPr id="6182" name="Scroll Bar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10</xdr:row>
          <xdr:rowOff>9525</xdr:rowOff>
        </xdr:from>
        <xdr:to>
          <xdr:col>15</xdr:col>
          <xdr:colOff>457200</xdr:colOff>
          <xdr:row>10</xdr:row>
          <xdr:rowOff>171450</xdr:rowOff>
        </xdr:to>
        <xdr:sp macro="" textlink="">
          <xdr:nvSpPr>
            <xdr:cNvPr id="6183" name="Scroll Bar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12</xdr:row>
          <xdr:rowOff>9525</xdr:rowOff>
        </xdr:from>
        <xdr:to>
          <xdr:col>15</xdr:col>
          <xdr:colOff>466725</xdr:colOff>
          <xdr:row>12</xdr:row>
          <xdr:rowOff>171450</xdr:rowOff>
        </xdr:to>
        <xdr:sp macro="" textlink="">
          <xdr:nvSpPr>
            <xdr:cNvPr id="6184" name="Scroll Bar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</xdr:row>
          <xdr:rowOff>9525</xdr:rowOff>
        </xdr:from>
        <xdr:to>
          <xdr:col>15</xdr:col>
          <xdr:colOff>457200</xdr:colOff>
          <xdr:row>14</xdr:row>
          <xdr:rowOff>171450</xdr:rowOff>
        </xdr:to>
        <xdr:sp macro="" textlink="">
          <xdr:nvSpPr>
            <xdr:cNvPr id="6185" name="Scroll Bar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19</xdr:row>
          <xdr:rowOff>9525</xdr:rowOff>
        </xdr:from>
        <xdr:to>
          <xdr:col>15</xdr:col>
          <xdr:colOff>457200</xdr:colOff>
          <xdr:row>19</xdr:row>
          <xdr:rowOff>171450</xdr:rowOff>
        </xdr:to>
        <xdr:sp macro="" textlink="">
          <xdr:nvSpPr>
            <xdr:cNvPr id="6186" name="Scroll Bar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18</xdr:row>
          <xdr:rowOff>9525</xdr:rowOff>
        </xdr:from>
        <xdr:to>
          <xdr:col>15</xdr:col>
          <xdr:colOff>466725</xdr:colOff>
          <xdr:row>18</xdr:row>
          <xdr:rowOff>171450</xdr:rowOff>
        </xdr:to>
        <xdr:sp macro="" textlink="">
          <xdr:nvSpPr>
            <xdr:cNvPr id="6188" name="Scroll Bar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25</xdr:col>
      <xdr:colOff>47624</xdr:colOff>
      <xdr:row>16</xdr:row>
      <xdr:rowOff>0</xdr:rowOff>
    </xdr:from>
    <xdr:to>
      <xdr:col>26</xdr:col>
      <xdr:colOff>57149</xdr:colOff>
      <xdr:row>16</xdr:row>
      <xdr:rowOff>152399</xdr:rowOff>
    </xdr:to>
    <xdr:sp macro="" textlink="$AJ$9">
      <xdr:nvSpPr>
        <xdr:cNvPr id="10" name="Прямоугольник 9"/>
        <xdr:cNvSpPr/>
      </xdr:nvSpPr>
      <xdr:spPr>
        <a:xfrm>
          <a:off x="13601699" y="3619500"/>
          <a:ext cx="676275" cy="152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9FA1ECA-1317-4006-9E6E-842E3C916282}" type="TxLink">
            <a:rPr lang="en-US" sz="1000" b="1">
              <a:solidFill>
                <a:schemeClr val="accent5"/>
              </a:solidFill>
            </a:rPr>
            <a:pPr algn="ctr"/>
            <a:t>0р.</a:t>
          </a:fld>
          <a:endParaRPr lang="ru-RU" sz="1000" b="1">
            <a:solidFill>
              <a:schemeClr val="accent5"/>
            </a:solidFill>
          </a:endParaRPr>
        </a:p>
      </xdr:txBody>
    </xdr:sp>
    <xdr:clientData/>
  </xdr:twoCellAnchor>
  <xdr:twoCellAnchor>
    <xdr:from>
      <xdr:col>21</xdr:col>
      <xdr:colOff>170385</xdr:colOff>
      <xdr:row>8</xdr:row>
      <xdr:rowOff>57151</xdr:rowOff>
    </xdr:from>
    <xdr:to>
      <xdr:col>23</xdr:col>
      <xdr:colOff>237060</xdr:colOff>
      <xdr:row>8</xdr:row>
      <xdr:rowOff>209550</xdr:rowOff>
    </xdr:to>
    <xdr:sp macro="" textlink="$AI$9">
      <xdr:nvSpPr>
        <xdr:cNvPr id="57" name="Прямоугольник 56"/>
        <xdr:cNvSpPr/>
      </xdr:nvSpPr>
      <xdr:spPr>
        <a:xfrm>
          <a:off x="9854135" y="1919818"/>
          <a:ext cx="680508" cy="152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2B2D6B-D8A9-4259-AEF4-575E2C5B9E88}" type="TxLink">
            <a:rPr lang="en-US" sz="1000" b="1">
              <a:solidFill>
                <a:schemeClr val="bg1">
                  <a:lumMod val="50000"/>
                </a:schemeClr>
              </a:solidFill>
            </a:rPr>
            <a:pPr algn="ctr"/>
            <a:t>0р.</a:t>
          </a:fld>
          <a:endParaRPr lang="ru-RU" sz="10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</xdr:row>
          <xdr:rowOff>19050</xdr:rowOff>
        </xdr:from>
        <xdr:to>
          <xdr:col>7</xdr:col>
          <xdr:colOff>47625</xdr:colOff>
          <xdr:row>7</xdr:row>
          <xdr:rowOff>228600</xdr:rowOff>
        </xdr:to>
        <xdr:sp macro="" textlink="">
          <xdr:nvSpPr>
            <xdr:cNvPr id="6224" name="Option Button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На текущий момент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</xdr:row>
          <xdr:rowOff>19050</xdr:rowOff>
        </xdr:from>
        <xdr:to>
          <xdr:col>9</xdr:col>
          <xdr:colOff>438150</xdr:colOff>
          <xdr:row>7</xdr:row>
          <xdr:rowOff>228600</xdr:rowOff>
        </xdr:to>
        <xdr:sp macro="" textlink="">
          <xdr:nvSpPr>
            <xdr:cNvPr id="6225" name="Option Button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Прогноз на конец месяца</a:t>
              </a:r>
            </a:p>
          </xdr:txBody>
        </xdr:sp>
        <xdr:clientData/>
      </xdr:twoCellAnchor>
    </mc:Choice>
    <mc:Fallback/>
  </mc:AlternateContent>
  <xdr:twoCellAnchor editAs="oneCell">
    <xdr:from>
      <xdr:col>29</xdr:col>
      <xdr:colOff>85725</xdr:colOff>
      <xdr:row>19</xdr:row>
      <xdr:rowOff>9525</xdr:rowOff>
    </xdr:from>
    <xdr:to>
      <xdr:col>29</xdr:col>
      <xdr:colOff>247649</xdr:colOff>
      <xdr:row>19</xdr:row>
      <xdr:rowOff>171449</xdr:rowOff>
    </xdr:to>
    <xdr:pic macro="[0]!im1_5_Щелчок">
      <xdr:nvPicPr>
        <xdr:cNvPr id="44" name="im1_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3971925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29</xdr:col>
      <xdr:colOff>86783</xdr:colOff>
      <xdr:row>9</xdr:row>
      <xdr:rowOff>19050</xdr:rowOff>
    </xdr:from>
    <xdr:to>
      <xdr:col>29</xdr:col>
      <xdr:colOff>248707</xdr:colOff>
      <xdr:row>9</xdr:row>
      <xdr:rowOff>180974</xdr:rowOff>
    </xdr:to>
    <xdr:pic macro="[0]!im1_1_Щелчок">
      <xdr:nvPicPr>
        <xdr:cNvPr id="46" name="im1_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8700" y="20510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10</xdr:row>
      <xdr:rowOff>9525</xdr:rowOff>
    </xdr:from>
    <xdr:to>
      <xdr:col>29</xdr:col>
      <xdr:colOff>247649</xdr:colOff>
      <xdr:row>10</xdr:row>
      <xdr:rowOff>171449</xdr:rowOff>
    </xdr:to>
    <xdr:pic macro="[0]!im1_2_Щелчок">
      <xdr:nvPicPr>
        <xdr:cNvPr id="47" name="im1_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2257425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12</xdr:row>
      <xdr:rowOff>19050</xdr:rowOff>
    </xdr:from>
    <xdr:to>
      <xdr:col>29</xdr:col>
      <xdr:colOff>247649</xdr:colOff>
      <xdr:row>12</xdr:row>
      <xdr:rowOff>180974</xdr:rowOff>
    </xdr:to>
    <xdr:pic macro="[0]!im1_3_Щелчок">
      <xdr:nvPicPr>
        <xdr:cNvPr id="48" name="im1_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26479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14</xdr:row>
      <xdr:rowOff>9525</xdr:rowOff>
    </xdr:from>
    <xdr:to>
      <xdr:col>29</xdr:col>
      <xdr:colOff>247649</xdr:colOff>
      <xdr:row>14</xdr:row>
      <xdr:rowOff>171449</xdr:rowOff>
    </xdr:to>
    <xdr:pic macro="[0]!im1_4_Щелчок">
      <xdr:nvPicPr>
        <xdr:cNvPr id="49" name="im1_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3019425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29</xdr:col>
      <xdr:colOff>70246</xdr:colOff>
      <xdr:row>9</xdr:row>
      <xdr:rowOff>19049</xdr:rowOff>
    </xdr:from>
    <xdr:to>
      <xdr:col>29</xdr:col>
      <xdr:colOff>266699</xdr:colOff>
      <xdr:row>10</xdr:row>
      <xdr:rowOff>3174</xdr:rowOff>
    </xdr:to>
    <xdr:pic macro="[0]!im2_1_Щелчок">
      <xdr:nvPicPr>
        <xdr:cNvPr id="60" name="im2_1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4171" y="2076449"/>
          <a:ext cx="196453" cy="174625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79771</xdr:colOff>
      <xdr:row>10</xdr:row>
      <xdr:rowOff>19049</xdr:rowOff>
    </xdr:from>
    <xdr:to>
      <xdr:col>29</xdr:col>
      <xdr:colOff>276224</xdr:colOff>
      <xdr:row>11</xdr:row>
      <xdr:rowOff>3174</xdr:rowOff>
    </xdr:to>
    <xdr:pic macro="[0]!im2_2_Щелчок">
      <xdr:nvPicPr>
        <xdr:cNvPr id="61" name="im2_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3696" y="2266949"/>
          <a:ext cx="196453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79771</xdr:colOff>
      <xdr:row>12</xdr:row>
      <xdr:rowOff>19049</xdr:rowOff>
    </xdr:from>
    <xdr:to>
      <xdr:col>29</xdr:col>
      <xdr:colOff>276224</xdr:colOff>
      <xdr:row>13</xdr:row>
      <xdr:rowOff>3174</xdr:rowOff>
    </xdr:to>
    <xdr:pic macro="[0]!im2_3_Щелчок">
      <xdr:nvPicPr>
        <xdr:cNvPr id="62" name="im2_3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3696" y="2647949"/>
          <a:ext cx="196453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79771</xdr:colOff>
      <xdr:row>14</xdr:row>
      <xdr:rowOff>19049</xdr:rowOff>
    </xdr:from>
    <xdr:to>
      <xdr:col>29</xdr:col>
      <xdr:colOff>276224</xdr:colOff>
      <xdr:row>15</xdr:row>
      <xdr:rowOff>3174</xdr:rowOff>
    </xdr:to>
    <xdr:pic macro="[0]!im2_4_Щелчок">
      <xdr:nvPicPr>
        <xdr:cNvPr id="63" name="im2_4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3696" y="3028949"/>
          <a:ext cx="196453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79771</xdr:colOff>
      <xdr:row>19</xdr:row>
      <xdr:rowOff>19049</xdr:rowOff>
    </xdr:from>
    <xdr:to>
      <xdr:col>29</xdr:col>
      <xdr:colOff>276224</xdr:colOff>
      <xdr:row>20</xdr:row>
      <xdr:rowOff>3174</xdr:rowOff>
    </xdr:to>
    <xdr:pic macro="[0]!im2_5_Щелчок">
      <xdr:nvPicPr>
        <xdr:cNvPr id="64" name="im2_5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3696" y="3981449"/>
          <a:ext cx="196453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298451</xdr:colOff>
      <xdr:row>16</xdr:row>
      <xdr:rowOff>142875</xdr:rowOff>
    </xdr:from>
    <xdr:to>
      <xdr:col>25</xdr:col>
      <xdr:colOff>486835</xdr:colOff>
      <xdr:row>17</xdr:row>
      <xdr:rowOff>104775</xdr:rowOff>
    </xdr:to>
    <xdr:sp macro="" textlink="$AH$10">
      <xdr:nvSpPr>
        <xdr:cNvPr id="59" name="Прямоугольник 58"/>
        <xdr:cNvSpPr/>
      </xdr:nvSpPr>
      <xdr:spPr>
        <a:xfrm>
          <a:off x="10352618" y="3508375"/>
          <a:ext cx="1416050" cy="1524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EBABF3A0-55A2-42BA-ACA9-FE6DA1575892}" type="TxLink">
            <a:rPr lang="en-US" sz="1000" b="1">
              <a:solidFill>
                <a:schemeClr val="bg1">
                  <a:lumMod val="50000"/>
                </a:schemeClr>
              </a:solidFill>
            </a:rPr>
            <a:pPr algn="l"/>
            <a:t>0р.</a:t>
          </a:fld>
          <a:endParaRPr lang="ru-RU" sz="10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40216</xdr:colOff>
      <xdr:row>16</xdr:row>
      <xdr:rowOff>152399</xdr:rowOff>
    </xdr:from>
    <xdr:to>
      <xdr:col>22</xdr:col>
      <xdr:colOff>84666</xdr:colOff>
      <xdr:row>17</xdr:row>
      <xdr:rowOff>95250</xdr:rowOff>
    </xdr:to>
    <xdr:sp macro="" textlink="$AF$8">
      <xdr:nvSpPr>
        <xdr:cNvPr id="58" name="Прямоугольник 57"/>
        <xdr:cNvSpPr/>
      </xdr:nvSpPr>
      <xdr:spPr>
        <a:xfrm>
          <a:off x="8877299" y="3517899"/>
          <a:ext cx="1568450" cy="1333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144E4A99-2669-4F95-9F68-046459C7F8FA}" type="TxLink">
            <a:rPr lang="en-US" sz="1050" b="1">
              <a:solidFill>
                <a:schemeClr val="bg1">
                  <a:lumMod val="50000"/>
                </a:schemeClr>
              </a:solidFill>
            </a:rPr>
            <a:pPr algn="r"/>
            <a:t>факт</a:t>
          </a:fld>
          <a:endParaRPr lang="ru-RU" sz="105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97366</xdr:colOff>
      <xdr:row>17</xdr:row>
      <xdr:rowOff>101601</xdr:rowOff>
    </xdr:from>
    <xdr:to>
      <xdr:col>20</xdr:col>
      <xdr:colOff>487891</xdr:colOff>
      <xdr:row>20</xdr:row>
      <xdr:rowOff>158750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174621</xdr:colOff>
      <xdr:row>18</xdr:row>
      <xdr:rowOff>25401</xdr:rowOff>
    </xdr:from>
    <xdr:to>
      <xdr:col>20</xdr:col>
      <xdr:colOff>479421</xdr:colOff>
      <xdr:row>20</xdr:row>
      <xdr:rowOff>15876</xdr:rowOff>
    </xdr:to>
    <xdr:sp macro="" textlink="$AG$9">
      <xdr:nvSpPr>
        <xdr:cNvPr id="13" name="Прямоугольник 12"/>
        <xdr:cNvSpPr/>
      </xdr:nvSpPr>
      <xdr:spPr>
        <a:xfrm>
          <a:off x="8990538" y="4174068"/>
          <a:ext cx="749300" cy="371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7274467-D03B-4257-B6A0-9E3A9DFFF13D}" type="TxLink">
            <a:rPr lang="ru-RU" sz="1100" b="1">
              <a:solidFill>
                <a:schemeClr val="tx1"/>
              </a:solidFill>
            </a:rPr>
            <a:pPr algn="ctr"/>
            <a:t>-</a:t>
          </a:fld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433919</xdr:colOff>
      <xdr:row>17</xdr:row>
      <xdr:rowOff>190499</xdr:rowOff>
    </xdr:from>
    <xdr:to>
      <xdr:col>25</xdr:col>
      <xdr:colOff>400050</xdr:colOff>
      <xdr:row>20</xdr:row>
      <xdr:rowOff>52920</xdr:rowOff>
    </xdr:to>
    <xdr:sp macro="" textlink="$V$18">
      <xdr:nvSpPr>
        <xdr:cNvPr id="65" name="Прямоугольник 64"/>
        <xdr:cNvSpPr/>
      </xdr:nvSpPr>
      <xdr:spPr>
        <a:xfrm>
          <a:off x="9730319" y="4133849"/>
          <a:ext cx="2099731" cy="4339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5D91AA2-6D7A-42F9-BFA7-C051CFBC0E00}" type="TxLink">
            <a:rPr lang="ru-RU" sz="1000" b="1" baseline="0">
              <a:solidFill>
                <a:schemeClr val="tx1"/>
              </a:solidFill>
            </a:rPr>
            <a:pPr algn="ctr"/>
            <a:t>введите цель</a:t>
          </a:fld>
          <a:endParaRPr lang="ru-RU" sz="10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236539</xdr:colOff>
      <xdr:row>10</xdr:row>
      <xdr:rowOff>27516</xdr:rowOff>
    </xdr:from>
    <xdr:to>
      <xdr:col>25</xdr:col>
      <xdr:colOff>277814</xdr:colOff>
      <xdr:row>21</xdr:row>
      <xdr:rowOff>17463</xdr:rowOff>
    </xdr:to>
    <xdr:graphicFrame macro="">
      <xdr:nvGraphicFramePr>
        <xdr:cNvPr id="72" name="Диаграмма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400050</xdr:colOff>
      <xdr:row>8</xdr:row>
      <xdr:rowOff>223837</xdr:rowOff>
    </xdr:from>
    <xdr:to>
      <xdr:col>25</xdr:col>
      <xdr:colOff>503770</xdr:colOff>
      <xdr:row>22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177806</xdr:colOff>
      <xdr:row>15</xdr:row>
      <xdr:rowOff>11643</xdr:rowOff>
    </xdr:from>
    <xdr:to>
      <xdr:col>22</xdr:col>
      <xdr:colOff>158755</xdr:colOff>
      <xdr:row>16</xdr:row>
      <xdr:rowOff>106893</xdr:rowOff>
    </xdr:to>
    <xdr:sp macro="" textlink="">
      <xdr:nvSpPr>
        <xdr:cNvPr id="9" name="Кольцо 8"/>
        <xdr:cNvSpPr/>
      </xdr:nvSpPr>
      <xdr:spPr>
        <a:xfrm>
          <a:off x="12626981" y="3573993"/>
          <a:ext cx="285749" cy="285750"/>
        </a:xfrm>
        <a:prstGeom prst="donut">
          <a:avLst>
            <a:gd name="adj" fmla="val 45878"/>
          </a:avLst>
        </a:prstGeom>
        <a:solidFill>
          <a:schemeClr val="bg1">
            <a:lumMod val="65000"/>
          </a:schemeClr>
        </a:solidFill>
        <a:ln w="19050"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465582</xdr:colOff>
      <xdr:row>25</xdr:row>
      <xdr:rowOff>144935</xdr:rowOff>
    </xdr:from>
    <xdr:to>
      <xdr:col>16</xdr:col>
      <xdr:colOff>314325</xdr:colOff>
      <xdr:row>34</xdr:row>
      <xdr:rowOff>383119</xdr:rowOff>
    </xdr:to>
    <xdr:grpSp>
      <xdr:nvGrpSpPr>
        <xdr:cNvPr id="3" name="Группа 2"/>
        <xdr:cNvGrpSpPr/>
      </xdr:nvGrpSpPr>
      <xdr:grpSpPr>
        <a:xfrm>
          <a:off x="4027932" y="6107585"/>
          <a:ext cx="4306443" cy="4000559"/>
          <a:chOff x="5920016" y="4835530"/>
          <a:chExt cx="3313995" cy="3595717"/>
        </a:xfrm>
      </xdr:grpSpPr>
      <xdr:pic>
        <xdr:nvPicPr>
          <xdr:cNvPr id="29" name="Рисунок 28"/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624" t="2848" r="8096" b="299"/>
          <a:stretch/>
        </xdr:blipFill>
        <xdr:spPr>
          <a:xfrm>
            <a:off x="5920016" y="4835530"/>
            <a:ext cx="3313995" cy="3595717"/>
          </a:xfrm>
          <a:prstGeom prst="rect">
            <a:avLst/>
          </a:prstGeom>
        </xdr:spPr>
      </xdr:pic>
      <xdr:sp macro="" textlink="$X$26">
        <xdr:nvSpPr>
          <xdr:cNvPr id="6" name="Прямоугольник 5"/>
          <xdr:cNvSpPr/>
        </xdr:nvSpPr>
        <xdr:spPr>
          <a:xfrm>
            <a:off x="6904903" y="5173275"/>
            <a:ext cx="1931458" cy="28151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53D2E4AC-51EA-4AA7-BD69-D63657B89F7B}" type="TxLink">
              <a:rPr lang="ru-RU" sz="1050" b="0"/>
              <a:pPr algn="l"/>
              <a:t>Показы CTR рекламы 6%:   5063</a:t>
            </a:fld>
            <a:endParaRPr lang="ru-RU" sz="1050" b="0"/>
          </a:p>
        </xdr:txBody>
      </xdr:sp>
      <xdr:sp macro="" textlink="$Z$28">
        <xdr:nvSpPr>
          <xdr:cNvPr id="31" name="Прямоугольник 30"/>
          <xdr:cNvSpPr/>
        </xdr:nvSpPr>
        <xdr:spPr>
          <a:xfrm>
            <a:off x="6604000" y="5582570"/>
            <a:ext cx="2017183" cy="28574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D4604A5F-0AC5-4F21-9C3B-A174096A7706}" type="TxLink">
              <a:rPr lang="ru-RU" sz="1050" b="0"/>
              <a:pPr algn="ctr"/>
              <a:t>Звонки отклик-догов. 80%:   36</a:t>
            </a:fld>
            <a:endParaRPr lang="ru-RU" sz="1050" b="0"/>
          </a:p>
        </xdr:txBody>
      </xdr:sp>
      <xdr:sp macro="" textlink="$Z$29">
        <xdr:nvSpPr>
          <xdr:cNvPr id="32" name="Прямоугольник 31"/>
          <xdr:cNvSpPr/>
        </xdr:nvSpPr>
        <xdr:spPr>
          <a:xfrm>
            <a:off x="6829256" y="6040967"/>
            <a:ext cx="1854200" cy="2624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83C3B86B-2803-4252-A43D-253A0CBAF099}" type="TxLink">
              <a:rPr lang="ru-RU" sz="1050" b="0"/>
              <a:pPr algn="l"/>
              <a:t>Договоры догов.-прод. 40%:   29</a:t>
            </a:fld>
            <a:endParaRPr lang="ru-RU" sz="1050" b="0"/>
          </a:p>
        </xdr:txBody>
      </xdr:sp>
      <xdr:sp macro="" textlink="$AA$30">
        <xdr:nvSpPr>
          <xdr:cNvPr id="33" name="Прямоугольник 32"/>
          <xdr:cNvSpPr/>
        </xdr:nvSpPr>
        <xdr:spPr>
          <a:xfrm>
            <a:off x="6727721" y="6222762"/>
            <a:ext cx="1768475" cy="22948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141E7787-7986-4FD8-8B8A-78A8AF8F9C86}" type="TxLink">
              <a:rPr lang="ru-RU" sz="1050" b="0"/>
              <a:pPr algn="ctr"/>
              <a:t>Продажи:   11</a:t>
            </a:fld>
            <a:endParaRPr lang="ru-RU" sz="1050" b="0"/>
          </a:p>
        </xdr:txBody>
      </xdr:sp>
      <xdr:sp macro="" textlink="$AA$31">
        <xdr:nvSpPr>
          <xdr:cNvPr id="34" name="Прямоугольник 33"/>
          <xdr:cNvSpPr/>
        </xdr:nvSpPr>
        <xdr:spPr>
          <a:xfrm>
            <a:off x="6761670" y="6390426"/>
            <a:ext cx="1882775" cy="25451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6BB0E74D-B8ED-4B65-96B6-DE9842E97B61}" type="TxLink">
              <a:rPr lang="ru-RU" sz="1050" b="0"/>
              <a:pPr algn="l"/>
              <a:t>Ср. прибыль с 1 продажи:   3000</a:t>
            </a:fld>
            <a:endParaRPr lang="ru-RU" sz="1050" b="0"/>
          </a:p>
        </xdr:txBody>
      </xdr:sp>
      <xdr:sp macro="" textlink="$AA$32">
        <xdr:nvSpPr>
          <xdr:cNvPr id="35" name="Прямоугольник 34"/>
          <xdr:cNvSpPr/>
        </xdr:nvSpPr>
        <xdr:spPr>
          <a:xfrm>
            <a:off x="6985302" y="6757603"/>
            <a:ext cx="1199312" cy="43391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5B1CD071-658E-4D91-B0D2-7FD65EC7FDC8}" type="TxLink">
              <a:rPr lang="ru-RU" sz="1050" b="0"/>
              <a:pPr algn="ctr"/>
              <a:t>Денег до вычета:   
35000</a:t>
            </a:fld>
            <a:endParaRPr lang="ru-RU" sz="1050" b="0"/>
          </a:p>
        </xdr:txBody>
      </xdr:sp>
      <xdr:sp macro="" textlink="$AA$34">
        <xdr:nvSpPr>
          <xdr:cNvPr id="36" name="Прямоугольник 35"/>
          <xdr:cNvSpPr/>
        </xdr:nvSpPr>
        <xdr:spPr>
          <a:xfrm>
            <a:off x="6899063" y="7237572"/>
            <a:ext cx="1375833" cy="4021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E0560A73-A93D-4CD3-8951-DF9C8208C3DD}" type="TxLink">
              <a:rPr lang="ru-RU" sz="1050" b="0"/>
              <a:pPr algn="ctr"/>
              <a:t>Затраты на рекламу:   
2126</a:t>
            </a:fld>
            <a:endParaRPr lang="ru-RU" sz="1050" b="0"/>
          </a:p>
        </xdr:txBody>
      </xdr:sp>
      <xdr:sp macro="" textlink="$AA$35">
        <xdr:nvSpPr>
          <xdr:cNvPr id="37" name="Прямоугольник 36"/>
          <xdr:cNvSpPr/>
        </xdr:nvSpPr>
        <xdr:spPr>
          <a:xfrm>
            <a:off x="6925610" y="7639926"/>
            <a:ext cx="1347258" cy="40110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109057FE-1875-4FA2-A3B7-A5A36D2CB9B1}" type="TxLink">
              <a:rPr lang="ru-RU" sz="1050" b="0"/>
              <a:pPr algn="ctr"/>
              <a:t>Останется чистыми:   
32873</a:t>
            </a:fld>
            <a:endParaRPr lang="ru-RU" sz="1050" b="0"/>
          </a:p>
        </xdr:txBody>
      </xdr:sp>
      <xdr:sp macro="" textlink="$Y$27">
        <xdr:nvSpPr>
          <xdr:cNvPr id="38" name="Прямоугольник 37"/>
          <xdr:cNvSpPr/>
        </xdr:nvSpPr>
        <xdr:spPr>
          <a:xfrm>
            <a:off x="6832763" y="5374797"/>
            <a:ext cx="1771610" cy="291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BF8E2D98-B06E-4D7D-926D-B3943F414DDC}" type="TxLink">
              <a:rPr lang="ru-RU" sz="1050" b="0"/>
              <a:pPr algn="l"/>
              <a:t>Клики конверсия сайта 12%:   303</a:t>
            </a:fld>
            <a:endParaRPr lang="ru-RU" sz="1050" b="0"/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0.08063</cdr:x>
      <cdr:y>0.51713</cdr:y>
    </cdr:from>
    <cdr:to>
      <cdr:x>0.29007</cdr:x>
      <cdr:y>0.57695</cdr:y>
    </cdr:to>
    <cdr:sp macro="" textlink="Прогнозирование!$AK$7">
      <cdr:nvSpPr>
        <cdr:cNvPr id="2" name="Прямоугольник 1"/>
        <cdr:cNvSpPr/>
      </cdr:nvSpPr>
      <cdr:spPr>
        <a:xfrm xmlns:a="http://schemas.openxmlformats.org/drawingml/2006/main">
          <a:off x="260350" y="1317625"/>
          <a:ext cx="676275" cy="152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47A3531-FEA0-41BF-8448-F22A52BB2395}" type="TxLink">
            <a:rPr lang="en-US" sz="1000" b="1">
              <a:solidFill>
                <a:schemeClr val="accent6"/>
              </a:solidFill>
            </a:rPr>
            <a:pPr algn="ctr"/>
            <a:t>0р.</a:t>
          </a:fld>
          <a:endParaRPr lang="ru-RU" sz="1000" b="1">
            <a:solidFill>
              <a:schemeClr val="accent6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asergey/AppData/Roaming/Skype/My%20Skype%20Received%20Files/&#1092;&#1086;&#1088;&#1084;&#1091;&#1083;&#1099;%20&#1076;&#1083;&#1103;%20&#1074;&#1086;&#1088;&#1086;&#1085;&#1082;&#1080;%20&#1080;&#1079;%20&#1087;&#1088;&#1086;%20&#1074;&#1077;&#1088;&#1089;&#1080;&#1080;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РОНКА"/>
      <sheetName val="ДИНАМИКА"/>
      <sheetName val="МОДЕЛИРОВАНИЕ"/>
      <sheetName val="БАЗА КЛИЕНТОВ"/>
      <sheetName val="СТАТИСТИКА БАЗЫ"/>
      <sheetName val="СПРАВОЧНИК"/>
      <sheetName val="Показатели"/>
    </sheetNames>
    <sheetDataSet>
      <sheetData sheetId="0">
        <row r="2">
          <cell r="AC2">
            <v>2</v>
          </cell>
          <cell r="AK2">
            <v>3</v>
          </cell>
        </row>
        <row r="9">
          <cell r="AA9">
            <v>2.8659160696008188E-2</v>
          </cell>
        </row>
        <row r="96">
          <cell r="AA96">
            <v>2.6369168356997971E-2</v>
          </cell>
        </row>
        <row r="183">
          <cell r="AA183">
            <v>2.6476578411405296E-2</v>
          </cell>
        </row>
        <row r="270">
          <cell r="AA270">
            <v>1.4673311184939091E-2</v>
          </cell>
        </row>
        <row r="357">
          <cell r="AA357" t="e">
            <v>#N/A</v>
          </cell>
        </row>
        <row r="444">
          <cell r="AA444" t="e">
            <v>#N/A</v>
          </cell>
        </row>
        <row r="531">
          <cell r="AA531" t="e">
            <v>#N/A</v>
          </cell>
        </row>
        <row r="618">
          <cell r="AA618" t="e">
            <v>#N/A</v>
          </cell>
        </row>
        <row r="705">
          <cell r="AA705" t="e">
            <v>#N/A</v>
          </cell>
        </row>
        <row r="792">
          <cell r="AA792" t="e">
            <v>#N/A</v>
          </cell>
        </row>
        <row r="879">
          <cell r="AA879" t="e">
            <v>#N/A</v>
          </cell>
        </row>
        <row r="966">
          <cell r="AA966" t="e">
            <v>#N/A</v>
          </cell>
        </row>
      </sheetData>
      <sheetData sheetId="1">
        <row r="11">
          <cell r="C11" t="e">
            <v>#N/A</v>
          </cell>
        </row>
        <row r="15">
          <cell r="A15" t="b">
            <v>1</v>
          </cell>
          <cell r="C15">
            <v>11718</v>
          </cell>
        </row>
        <row r="16">
          <cell r="A16" t="b">
            <v>1</v>
          </cell>
          <cell r="C16">
            <v>4000</v>
          </cell>
        </row>
      </sheetData>
      <sheetData sheetId="2" refreshError="1"/>
      <sheetData sheetId="3">
        <row r="1">
          <cell r="C1" t="str">
            <v>Код услуги</v>
          </cell>
        </row>
        <row r="2">
          <cell r="C2">
            <v>3</v>
          </cell>
          <cell r="E2">
            <v>41395</v>
          </cell>
          <cell r="K2" t="str">
            <v>Менеджер 1</v>
          </cell>
          <cell r="O2" t="str">
            <v>Оплатили</v>
          </cell>
        </row>
        <row r="3">
          <cell r="C3">
            <v>3</v>
          </cell>
        </row>
        <row r="4">
          <cell r="C4">
            <v>2</v>
          </cell>
        </row>
        <row r="5">
          <cell r="C5">
            <v>2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3</v>
          </cell>
        </row>
        <row r="10">
          <cell r="C10">
            <v>1</v>
          </cell>
        </row>
        <row r="11">
          <cell r="C11">
            <v>3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480">
          <cell r="C480">
            <v>0</v>
          </cell>
        </row>
        <row r="481">
          <cell r="C481">
            <v>0</v>
          </cell>
        </row>
        <row r="482">
          <cell r="C482">
            <v>0</v>
          </cell>
        </row>
        <row r="483">
          <cell r="C483">
            <v>0</v>
          </cell>
        </row>
        <row r="484">
          <cell r="C484">
            <v>0</v>
          </cell>
        </row>
        <row r="485">
          <cell r="C485">
            <v>0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0</v>
          </cell>
        </row>
        <row r="489">
          <cell r="C489">
            <v>0</v>
          </cell>
        </row>
        <row r="490">
          <cell r="C490">
            <v>0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0</v>
          </cell>
        </row>
        <row r="494">
          <cell r="C494">
            <v>0</v>
          </cell>
        </row>
        <row r="495">
          <cell r="C495">
            <v>0</v>
          </cell>
        </row>
        <row r="496">
          <cell r="C496">
            <v>0</v>
          </cell>
        </row>
        <row r="497">
          <cell r="C497">
            <v>0</v>
          </cell>
        </row>
        <row r="498">
          <cell r="C498">
            <v>0</v>
          </cell>
        </row>
        <row r="499">
          <cell r="C499">
            <v>0</v>
          </cell>
        </row>
        <row r="500">
          <cell r="C500">
            <v>0</v>
          </cell>
        </row>
        <row r="501">
          <cell r="C501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  <row r="681">
          <cell r="C681">
            <v>0</v>
          </cell>
        </row>
        <row r="682">
          <cell r="C682">
            <v>0</v>
          </cell>
        </row>
        <row r="683">
          <cell r="C683">
            <v>0</v>
          </cell>
        </row>
        <row r="684">
          <cell r="C684">
            <v>0</v>
          </cell>
        </row>
        <row r="685">
          <cell r="C685">
            <v>0</v>
          </cell>
        </row>
        <row r="686">
          <cell r="C686">
            <v>0</v>
          </cell>
        </row>
        <row r="687">
          <cell r="C687">
            <v>0</v>
          </cell>
        </row>
        <row r="688">
          <cell r="C688">
            <v>0</v>
          </cell>
        </row>
        <row r="689">
          <cell r="C689">
            <v>0</v>
          </cell>
        </row>
        <row r="690">
          <cell r="C690">
            <v>0</v>
          </cell>
        </row>
        <row r="691">
          <cell r="C691">
            <v>0</v>
          </cell>
        </row>
        <row r="692">
          <cell r="C692">
            <v>0</v>
          </cell>
        </row>
        <row r="693">
          <cell r="C693">
            <v>0</v>
          </cell>
        </row>
        <row r="694">
          <cell r="C694">
            <v>0</v>
          </cell>
        </row>
        <row r="695">
          <cell r="C695">
            <v>0</v>
          </cell>
        </row>
        <row r="696">
          <cell r="C696">
            <v>0</v>
          </cell>
        </row>
        <row r="697">
          <cell r="C697">
            <v>0</v>
          </cell>
        </row>
        <row r="698">
          <cell r="C698">
            <v>0</v>
          </cell>
        </row>
        <row r="699">
          <cell r="C699">
            <v>0</v>
          </cell>
        </row>
        <row r="700">
          <cell r="C700">
            <v>0</v>
          </cell>
        </row>
        <row r="701">
          <cell r="C701">
            <v>0</v>
          </cell>
        </row>
        <row r="702">
          <cell r="C702">
            <v>0</v>
          </cell>
        </row>
        <row r="703">
          <cell r="C703">
            <v>0</v>
          </cell>
        </row>
        <row r="704">
          <cell r="C704">
            <v>0</v>
          </cell>
        </row>
        <row r="705">
          <cell r="C705">
            <v>0</v>
          </cell>
        </row>
        <row r="706">
          <cell r="C706">
            <v>0</v>
          </cell>
        </row>
        <row r="707">
          <cell r="C707">
            <v>0</v>
          </cell>
        </row>
        <row r="708">
          <cell r="C708">
            <v>0</v>
          </cell>
        </row>
        <row r="709">
          <cell r="C709">
            <v>0</v>
          </cell>
        </row>
        <row r="710">
          <cell r="C710">
            <v>0</v>
          </cell>
        </row>
      </sheetData>
      <sheetData sheetId="4"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40">
          <cell r="D40" t="str">
            <v>Код</v>
          </cell>
        </row>
        <row r="41">
          <cell r="D41">
            <v>1</v>
          </cell>
        </row>
        <row r="42">
          <cell r="D42">
            <v>2</v>
          </cell>
        </row>
        <row r="43">
          <cell r="D43">
            <v>3</v>
          </cell>
        </row>
        <row r="44">
          <cell r="D44">
            <v>4</v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1">
          <cell r="D91" t="str">
            <v>Всего</v>
          </cell>
        </row>
      </sheetData>
      <sheetData sheetId="5">
        <row r="1">
          <cell r="C1" t="str">
            <v>Заходы - отклики</v>
          </cell>
          <cell r="F1" t="str">
            <v>Прибыль, руб.</v>
          </cell>
          <cell r="I1" t="str">
            <v>Месяц</v>
          </cell>
          <cell r="L1" t="str">
            <v>Январь</v>
          </cell>
          <cell r="N1">
            <v>31</v>
          </cell>
          <cell r="Q1" t="str">
            <v>ФИО менеджера</v>
          </cell>
          <cell r="S1" t="str">
            <v>Результат</v>
          </cell>
          <cell r="X1" t="str">
            <v>Сумма за период</v>
          </cell>
        </row>
        <row r="2">
          <cell r="C2" t="str">
            <v>Отклики - продажи</v>
          </cell>
          <cell r="F2" t="str">
            <v>Затраты (реклама), руб.</v>
          </cell>
          <cell r="I2" t="str">
            <v>Неделя 1</v>
          </cell>
          <cell r="L2" t="str">
            <v>Февраль</v>
          </cell>
          <cell r="N2">
            <v>28</v>
          </cell>
          <cell r="Q2" t="str">
            <v>Менеджер 1</v>
          </cell>
          <cell r="S2" t="str">
            <v>Оплатили</v>
          </cell>
          <cell r="X2" t="str">
            <v>Прогноз по средним</v>
          </cell>
        </row>
        <row r="3">
          <cell r="C3" t="str">
            <v>Заходы-продажи</v>
          </cell>
          <cell r="F3" t="str">
            <v>Прибыль  (- реклама)</v>
          </cell>
          <cell r="I3" t="str">
            <v>Неделя 2</v>
          </cell>
          <cell r="L3" t="str">
            <v>Март</v>
          </cell>
          <cell r="N3">
            <v>31</v>
          </cell>
          <cell r="Q3" t="str">
            <v>Менеджер 2</v>
          </cell>
          <cell r="S3" t="str">
            <v>Отказ</v>
          </cell>
          <cell r="X3" t="str">
            <v>Прогноз по минимумам</v>
          </cell>
        </row>
        <row r="4">
          <cell r="F4" t="str">
            <v>Чистая прибыль</v>
          </cell>
          <cell r="I4" t="str">
            <v>Неделя 3</v>
          </cell>
          <cell r="L4" t="str">
            <v>Апрель</v>
          </cell>
          <cell r="N4">
            <v>30</v>
          </cell>
          <cell r="Q4" t="str">
            <v>Менеджер 3</v>
          </cell>
          <cell r="S4" t="str">
            <v>Не дозвон.</v>
          </cell>
          <cell r="X4" t="str">
            <v>Прогноз по максимумам</v>
          </cell>
        </row>
        <row r="5">
          <cell r="I5" t="str">
            <v>Неделя 4</v>
          </cell>
          <cell r="L5" t="str">
            <v>Май</v>
          </cell>
          <cell r="N5">
            <v>31</v>
          </cell>
          <cell r="Q5">
            <v>0</v>
          </cell>
          <cell r="S5" t="str">
            <v>Подумаю (коммент.)</v>
          </cell>
        </row>
        <row r="6">
          <cell r="L6" t="str">
            <v>Июнь</v>
          </cell>
          <cell r="N6">
            <v>30</v>
          </cell>
          <cell r="Q6">
            <v>0</v>
          </cell>
          <cell r="S6" t="str">
            <v>Хотят, но (коммент.)</v>
          </cell>
        </row>
        <row r="7">
          <cell r="L7" t="str">
            <v>Июль</v>
          </cell>
          <cell r="N7">
            <v>31</v>
          </cell>
          <cell r="Q7">
            <v>0</v>
          </cell>
        </row>
        <row r="8">
          <cell r="L8" t="str">
            <v>Август</v>
          </cell>
          <cell r="N8">
            <v>31</v>
          </cell>
          <cell r="Q8">
            <v>0</v>
          </cell>
        </row>
        <row r="9">
          <cell r="L9" t="str">
            <v>Сентябрь</v>
          </cell>
          <cell r="N9">
            <v>30</v>
          </cell>
          <cell r="Q9">
            <v>0</v>
          </cell>
        </row>
        <row r="10">
          <cell r="L10" t="str">
            <v>Октябрь</v>
          </cell>
          <cell r="N10">
            <v>31</v>
          </cell>
          <cell r="Q10">
            <v>0</v>
          </cell>
        </row>
        <row r="11">
          <cell r="L11" t="str">
            <v>Ноябрь</v>
          </cell>
          <cell r="N11">
            <v>30</v>
          </cell>
          <cell r="Q11">
            <v>0</v>
          </cell>
        </row>
        <row r="12">
          <cell r="L12" t="str">
            <v>Декабрь</v>
          </cell>
          <cell r="N12">
            <v>31</v>
          </cell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3">
          <cell r="Q33" t="str">
            <v>БОНУС!</v>
          </cell>
        </row>
        <row r="34">
          <cell r="Q34" t="str">
            <v>Каждый пользователь воронки продаж 4.0 получает скидку 500р на обучающий видео курс по яндекс директ.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 t="str">
            <v>Информация о курсе:</v>
          </cell>
        </row>
        <row r="38">
          <cell r="Q38" t="str">
            <v>http://kursdirect.ru/</v>
          </cell>
        </row>
        <row r="39">
          <cell r="Q39" t="str">
            <v>Отзывы</v>
          </cell>
        </row>
        <row r="40">
          <cell r="Q40">
            <v>0</v>
          </cell>
        </row>
        <row r="41">
          <cell r="Q41" t="str">
            <v>Для получения скидки свяжитесь с автором.</v>
          </cell>
        </row>
        <row r="42">
          <cell r="Q42" t="str">
            <v>evgeny.novikov@mail.ru</v>
          </cell>
        </row>
        <row r="43">
          <cell r="Q43" t="str">
            <v>http://vk.com/truejacko</v>
          </cell>
        </row>
        <row r="45">
          <cell r="Q45" t="str">
            <v>ВОРОНКА ОНЛАЙН</v>
          </cell>
        </row>
        <row r="46">
          <cell r="Q46" t="str">
            <v>Воспользуйтесь также онлайн сервисом для ведения воронки. (доступно с любых устройств)</v>
          </cell>
        </row>
        <row r="47">
          <cell r="Q47">
            <v>0</v>
          </cell>
        </row>
        <row r="48">
          <cell r="Q48" t="str">
            <v>http://voronki.com/</v>
          </cell>
        </row>
        <row r="49">
          <cell r="Q49">
            <v>0</v>
          </cell>
        </row>
        <row r="50">
          <cell r="Q50">
            <v>0</v>
          </cell>
        </row>
      </sheetData>
      <sheetData sheetId="6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F43:R45" totalsRowShown="0" headerRowDxfId="17" dataDxfId="15" headerRowBorderDxfId="16" tableBorderDxfId="14" totalsRowBorderDxfId="13">
  <tableColumns count="13">
    <tableColumn id="1" name="Показатель" dataDxfId="12"/>
    <tableColumn id="2" name="Янв" dataDxfId="11">
      <calculatedColumnFormula>Статистика!BX19</calculatedColumnFormula>
    </tableColumn>
    <tableColumn id="3" name="Фев" dataDxfId="10"/>
    <tableColumn id="4" name="Мар" dataDxfId="9"/>
    <tableColumn id="5" name="Апр" dataDxfId="8"/>
    <tableColumn id="6" name="Май" dataDxfId="7"/>
    <tableColumn id="7" name="Июн" dataDxfId="6"/>
    <tableColumn id="8" name="Июл" dataDxfId="5"/>
    <tableColumn id="9" name="Авг" dataDxfId="4"/>
    <tableColumn id="10" name="Сен" dataDxfId="3"/>
    <tableColumn id="11" name="Окт" dataDxfId="2"/>
    <tableColumn id="12" name="Ноя" dataDxfId="1"/>
    <tableColumn id="13" name="Дек" dataDxfId="0">
      <calculatedColumnFormula>AC4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hyperlink" Target="http://vk.com/voronkaprodazh" TargetMode="External"/><Relationship Id="rId21" Type="http://schemas.openxmlformats.org/officeDocument/2006/relationships/table" Target="../tables/table1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hyperlink" Target="http://kursdirect.ru/" TargetMode="Externa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hyperlink" Target="http://kurstargeting.ru/" TargetMode="External"/><Relationship Id="rId6" Type="http://schemas.openxmlformats.org/officeDocument/2006/relationships/vmlDrawing" Target="../drawings/vmlDrawing3.vml"/><Relationship Id="rId11" Type="http://schemas.openxmlformats.org/officeDocument/2006/relationships/ctrlProp" Target="../ctrlProps/ctrlProp10.xml"/><Relationship Id="rId5" Type="http://schemas.openxmlformats.org/officeDocument/2006/relationships/drawing" Target="../drawings/drawing3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Y49"/>
  <sheetViews>
    <sheetView showGridLines="0" tabSelected="1" topLeftCell="B4" zoomScale="90" zoomScaleNormal="90" workbookViewId="0">
      <selection activeCell="D10" sqref="D10"/>
    </sheetView>
  </sheetViews>
  <sheetFormatPr defaultColWidth="0" defaultRowHeight="15" zeroHeight="1" x14ac:dyDescent="0.25"/>
  <cols>
    <col min="1" max="1" width="9.140625" style="4" hidden="1" customWidth="1"/>
    <col min="2" max="2" width="6" style="4" customWidth="1"/>
    <col min="3" max="3" width="19.7109375" style="4" customWidth="1"/>
    <col min="4" max="12" width="10.28515625" style="4" customWidth="1"/>
    <col min="13" max="13" width="11" style="4" customWidth="1"/>
    <col min="14" max="14" width="3.28515625" style="4" customWidth="1"/>
    <col min="15" max="15" width="24.85546875" style="4" customWidth="1"/>
    <col min="16" max="16" width="12.85546875" style="4" customWidth="1"/>
    <col min="17" max="18" width="7.42578125" style="4" customWidth="1"/>
    <col min="19" max="19" width="27.5703125" style="4" customWidth="1"/>
    <col min="20" max="20" width="19.5703125" style="4" customWidth="1"/>
    <col min="21" max="21" width="9.140625" style="4" customWidth="1"/>
    <col min="22" max="22" width="9.140625" style="4" hidden="1" customWidth="1"/>
    <col min="23" max="16384" width="9.140625" style="4" hidden="1"/>
  </cols>
  <sheetData>
    <row r="1" spans="1:22" hidden="1" x14ac:dyDescent="0.25">
      <c r="A1" s="219"/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2" hidden="1" x14ac:dyDescent="0.25">
      <c r="A2" s="219"/>
      <c r="B2" s="220"/>
      <c r="C2" s="221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1:22" hidden="1" x14ac:dyDescent="0.25">
      <c r="A3" s="219"/>
      <c r="B3" s="220"/>
      <c r="C3" s="221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</row>
    <row r="4" spans="1:22" x14ac:dyDescent="0.25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</row>
    <row r="5" spans="1:22" x14ac:dyDescent="0.25">
      <c r="A5" s="219"/>
      <c r="B5" s="220"/>
      <c r="C5" s="222" t="s">
        <v>98</v>
      </c>
      <c r="D5" s="220"/>
      <c r="E5" s="220"/>
      <c r="F5" s="220"/>
      <c r="G5" s="327" t="s">
        <v>99</v>
      </c>
      <c r="H5" s="326"/>
      <c r="I5" s="329" t="str">
        <f>VLOOKUP(D6,Справочник!A:D,3,0)</f>
        <v>Январь неделя 1 (01-10 янв.)</v>
      </c>
      <c r="J5" s="329"/>
      <c r="K5" s="329"/>
      <c r="L5" s="220"/>
      <c r="M5" s="220"/>
      <c r="N5" s="326" t="s">
        <v>103</v>
      </c>
      <c r="O5" s="327">
        <v>15</v>
      </c>
      <c r="P5" s="220"/>
      <c r="Q5" s="220"/>
      <c r="R5" s="220"/>
      <c r="S5" s="220"/>
      <c r="T5" s="220"/>
      <c r="U5" s="220"/>
    </row>
    <row r="6" spans="1:22" ht="12" customHeight="1" thickBot="1" x14ac:dyDescent="0.3">
      <c r="A6" s="219"/>
      <c r="B6" s="220"/>
      <c r="C6" s="220"/>
      <c r="D6" s="223">
        <f>for_code!B1</f>
        <v>1</v>
      </c>
      <c r="E6" s="77">
        <v>1</v>
      </c>
      <c r="F6" s="77" t="str">
        <f>LEFT(I5,SEARCH(" ",I5)-1)</f>
        <v>Январь</v>
      </c>
      <c r="G6" s="77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</row>
    <row r="7" spans="1:22" ht="1.5" hidden="1" customHeight="1" thickBot="1" x14ac:dyDescent="0.3"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</row>
    <row r="8" spans="1:22" ht="23.25" customHeight="1" thickTop="1" thickBot="1" x14ac:dyDescent="0.3">
      <c r="B8" s="220"/>
      <c r="C8" s="330" t="s">
        <v>232</v>
      </c>
      <c r="D8" s="330"/>
      <c r="E8" s="330"/>
      <c r="F8" s="330"/>
      <c r="G8" s="330"/>
      <c r="H8" s="330"/>
      <c r="I8" s="330"/>
      <c r="J8" s="330"/>
      <c r="K8" s="330"/>
      <c r="L8" s="330"/>
      <c r="M8" s="224" t="s">
        <v>100</v>
      </c>
      <c r="N8" s="220"/>
      <c r="O8" s="332" t="s">
        <v>235</v>
      </c>
      <c r="P8" s="330"/>
      <c r="Q8" s="330"/>
      <c r="R8" s="330"/>
      <c r="S8" s="330"/>
      <c r="T8" s="330"/>
      <c r="U8" s="220"/>
      <c r="V8" s="28"/>
    </row>
    <row r="9" spans="1:22" ht="16.5" thickTop="1" thickBot="1" x14ac:dyDescent="0.3">
      <c r="B9" s="220"/>
      <c r="C9" s="225" t="s">
        <v>116</v>
      </c>
      <c r="D9" s="226" t="s">
        <v>6</v>
      </c>
      <c r="E9" s="226" t="s">
        <v>7</v>
      </c>
      <c r="F9" s="226" t="s">
        <v>8</v>
      </c>
      <c r="G9" s="226" t="s">
        <v>9</v>
      </c>
      <c r="H9" s="226" t="s">
        <v>10</v>
      </c>
      <c r="I9" s="226" t="s">
        <v>11</v>
      </c>
      <c r="J9" s="226" t="s">
        <v>12</v>
      </c>
      <c r="K9" s="226" t="s">
        <v>13</v>
      </c>
      <c r="L9" s="226" t="s">
        <v>13</v>
      </c>
      <c r="M9" s="227" t="s">
        <v>14</v>
      </c>
      <c r="N9" s="77"/>
      <c r="O9" s="228"/>
      <c r="P9" s="229">
        <f>for_code!B2</f>
        <v>1</v>
      </c>
      <c r="Q9" s="230">
        <f>VLOOKUP(P9,Справочник!G:I,3,0)</f>
        <v>1</v>
      </c>
      <c r="R9" s="230">
        <f>VLOOKUP(P9,Справочник!G:J,4,0)</f>
        <v>0</v>
      </c>
      <c r="S9" s="231">
        <f>VLOOKUP(D6,Справочник!A:E,4,0)</f>
        <v>1</v>
      </c>
      <c r="T9" s="231">
        <v>15</v>
      </c>
      <c r="U9" s="220"/>
      <c r="V9" s="28"/>
    </row>
    <row r="10" spans="1:22" x14ac:dyDescent="0.25">
      <c r="B10" s="220"/>
      <c r="C10" s="232" t="s">
        <v>0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4">
        <f t="shared" ref="M10:M15" si="0">SUM(D10:L10)</f>
        <v>0</v>
      </c>
      <c r="N10" s="77"/>
      <c r="O10" s="235"/>
      <c r="P10" s="28"/>
      <c r="Q10" s="236"/>
      <c r="R10" s="236" t="e">
        <f ca="1">MAX(R11:R14)</f>
        <v>#N/A</v>
      </c>
      <c r="S10" s="237"/>
      <c r="T10" s="238"/>
      <c r="U10" s="220"/>
      <c r="V10" s="28"/>
    </row>
    <row r="11" spans="1:22" x14ac:dyDescent="0.25">
      <c r="B11" s="220"/>
      <c r="C11" s="239" t="s">
        <v>1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1">
        <f t="shared" si="0"/>
        <v>0</v>
      </c>
      <c r="N11" s="77">
        <f>Q11-$Q$9</f>
        <v>2</v>
      </c>
      <c r="O11" s="235" t="str">
        <f>LEFT($F$6,3) &amp; " нед1"</f>
        <v>Янв нед1</v>
      </c>
      <c r="P11" s="28">
        <f>(S9-1)*4</f>
        <v>0</v>
      </c>
      <c r="Q11" s="242">
        <f>2+17*P11+$Q$9</f>
        <v>3</v>
      </c>
      <c r="R11" s="242" t="e">
        <f ca="1">IF(OFFSET(БД!$K:$K,Q11-1,0,1,1)=0, NA(),OFFSET(БД!$K:$K,Q11-1,0,1,1))</f>
        <v>#N/A</v>
      </c>
      <c r="S11" s="243">
        <v>1</v>
      </c>
      <c r="T11" s="238"/>
      <c r="U11" s="220"/>
      <c r="V11" s="28"/>
    </row>
    <row r="12" spans="1:22" x14ac:dyDescent="0.25">
      <c r="B12" s="220"/>
      <c r="C12" s="239" t="s">
        <v>2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1">
        <f t="shared" si="0"/>
        <v>0</v>
      </c>
      <c r="N12" s="77">
        <f t="shared" ref="N12:N14" si="1">Q12-$Q$9</f>
        <v>19</v>
      </c>
      <c r="O12" s="235" t="str">
        <f>LEFT($F$6,3) &amp; " нед2"</f>
        <v>Янв нед2</v>
      </c>
      <c r="P12" s="28">
        <f>P11+1</f>
        <v>1</v>
      </c>
      <c r="Q12" s="242">
        <f>2+17*P12+$Q$9</f>
        <v>20</v>
      </c>
      <c r="R12" s="242" t="e">
        <f ca="1">IF(OFFSET(БД!$K:$K,Q12-1,0,1,1)=0, NA(),OFFSET(БД!$K:$K,Q12-1,0,1,1))</f>
        <v>#N/A</v>
      </c>
      <c r="S12" s="243">
        <v>0</v>
      </c>
      <c r="T12" s="238"/>
      <c r="U12" s="220"/>
      <c r="V12" s="28"/>
    </row>
    <row r="13" spans="1:22" x14ac:dyDescent="0.25">
      <c r="B13" s="220"/>
      <c r="C13" s="239" t="s">
        <v>3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1">
        <f t="shared" si="0"/>
        <v>0</v>
      </c>
      <c r="N13" s="77">
        <f t="shared" si="1"/>
        <v>36</v>
      </c>
      <c r="O13" s="235" t="str">
        <f>LEFT($F$6,3) &amp; " нед3"</f>
        <v>Янв нед3</v>
      </c>
      <c r="P13" s="28">
        <f t="shared" ref="P13:P14" si="2">P12+1</f>
        <v>2</v>
      </c>
      <c r="Q13" s="242">
        <f>2+17*P13+$Q$9</f>
        <v>37</v>
      </c>
      <c r="R13" s="242" t="e">
        <f ca="1">IF(OFFSET(БД!$K:$K,Q13-1,0,1,1)=0, NA(),OFFSET(БД!$K:$K,Q13-1,0,1,1))</f>
        <v>#N/A</v>
      </c>
      <c r="S13" s="243">
        <v>1</v>
      </c>
      <c r="T13" s="238"/>
      <c r="U13" s="220"/>
      <c r="V13" s="28"/>
    </row>
    <row r="14" spans="1:22" x14ac:dyDescent="0.25">
      <c r="B14" s="220"/>
      <c r="C14" s="239" t="s">
        <v>4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5">
        <f t="shared" si="0"/>
        <v>0</v>
      </c>
      <c r="N14" s="77">
        <f t="shared" si="1"/>
        <v>53</v>
      </c>
      <c r="O14" s="235" t="str">
        <f>LEFT($F$6,3) &amp; " нед4"</f>
        <v>Янв нед4</v>
      </c>
      <c r="P14" s="28">
        <f t="shared" si="2"/>
        <v>3</v>
      </c>
      <c r="Q14" s="242">
        <f>2+17*P14+$Q$9</f>
        <v>54</v>
      </c>
      <c r="R14" s="242" t="e">
        <f ca="1">IF(OFFSET(БД!$K:$K,Q14-1,0,1,1)=0, NA(),OFFSET(БД!$K:$K,Q14-1,0,1,1))</f>
        <v>#N/A</v>
      </c>
      <c r="S14" s="243">
        <v>0</v>
      </c>
      <c r="T14" s="238"/>
      <c r="U14" s="220"/>
      <c r="V14" s="28"/>
    </row>
    <row r="15" spans="1:22" ht="16.5" customHeight="1" x14ac:dyDescent="0.25">
      <c r="B15" s="220"/>
      <c r="C15" s="246" t="s">
        <v>231</v>
      </c>
      <c r="D15" s="247"/>
      <c r="E15" s="247"/>
      <c r="F15" s="247"/>
      <c r="G15" s="247"/>
      <c r="H15" s="247"/>
      <c r="I15" s="247"/>
      <c r="J15" s="247"/>
      <c r="K15" s="247"/>
      <c r="L15" s="247"/>
      <c r="M15" s="248">
        <f t="shared" si="0"/>
        <v>0</v>
      </c>
      <c r="N15" s="77"/>
      <c r="O15" s="235"/>
      <c r="P15" s="28"/>
      <c r="Q15" s="28"/>
      <c r="R15" s="249"/>
      <c r="S15" s="249"/>
      <c r="T15" s="238"/>
      <c r="U15" s="220"/>
      <c r="V15" s="28"/>
    </row>
    <row r="16" spans="1:22" ht="2.25" customHeight="1" x14ac:dyDescent="0.25">
      <c r="B16" s="220"/>
      <c r="C16" s="250"/>
      <c r="D16" s="251"/>
      <c r="E16" s="251"/>
      <c r="F16" s="251"/>
      <c r="G16" s="251"/>
      <c r="H16" s="251"/>
      <c r="I16" s="251"/>
      <c r="J16" s="251"/>
      <c r="K16" s="251"/>
      <c r="L16" s="251"/>
      <c r="M16" s="252"/>
      <c r="N16" s="77"/>
      <c r="O16" s="235"/>
      <c r="P16" s="28"/>
      <c r="Q16" s="28"/>
      <c r="R16" s="249"/>
      <c r="S16" s="249"/>
      <c r="T16" s="238"/>
      <c r="U16" s="220"/>
      <c r="V16" s="28"/>
    </row>
    <row r="17" spans="2:25" s="260" customFormat="1" ht="15" customHeight="1" x14ac:dyDescent="0.25">
      <c r="B17" s="253"/>
      <c r="C17" s="254" t="s">
        <v>225</v>
      </c>
      <c r="D17" s="255">
        <f>IF(D10&gt;0,D11/D10,0)</f>
        <v>0</v>
      </c>
      <c r="E17" s="255">
        <f t="shared" ref="E17:M17" si="3">IF(E10&gt;0,E11/E10,0)</f>
        <v>0</v>
      </c>
      <c r="F17" s="255">
        <f t="shared" si="3"/>
        <v>0</v>
      </c>
      <c r="G17" s="255">
        <f t="shared" si="3"/>
        <v>0</v>
      </c>
      <c r="H17" s="255">
        <f t="shared" si="3"/>
        <v>0</v>
      </c>
      <c r="I17" s="255">
        <f t="shared" si="3"/>
        <v>0</v>
      </c>
      <c r="J17" s="255">
        <f t="shared" si="3"/>
        <v>0</v>
      </c>
      <c r="K17" s="255">
        <f t="shared" ref="K17:L17" si="4">IF(K10&gt;0,K11/K10,0)</f>
        <v>0</v>
      </c>
      <c r="L17" s="255">
        <f t="shared" si="4"/>
        <v>0</v>
      </c>
      <c r="M17" s="256">
        <f t="shared" si="3"/>
        <v>0</v>
      </c>
      <c r="N17" s="257"/>
      <c r="O17" s="235"/>
      <c r="P17" s="28"/>
      <c r="Q17" s="28"/>
      <c r="R17" s="249"/>
      <c r="S17" s="258"/>
      <c r="T17" s="259"/>
      <c r="U17" s="253"/>
      <c r="V17" s="28"/>
    </row>
    <row r="18" spans="2:25" s="260" customFormat="1" ht="15" customHeight="1" x14ac:dyDescent="0.25">
      <c r="B18" s="253"/>
      <c r="C18" s="261" t="s">
        <v>222</v>
      </c>
      <c r="D18" s="262">
        <f>IF(D11&gt;0,D12/D11,0)</f>
        <v>0</v>
      </c>
      <c r="E18" s="262">
        <f t="shared" ref="E18:M18" si="5">IF(E11&gt;0,E12/E11,0)</f>
        <v>0</v>
      </c>
      <c r="F18" s="262">
        <f t="shared" si="5"/>
        <v>0</v>
      </c>
      <c r="G18" s="262">
        <f t="shared" si="5"/>
        <v>0</v>
      </c>
      <c r="H18" s="262">
        <f t="shared" si="5"/>
        <v>0</v>
      </c>
      <c r="I18" s="262">
        <f t="shared" si="5"/>
        <v>0</v>
      </c>
      <c r="J18" s="262">
        <f t="shared" si="5"/>
        <v>0</v>
      </c>
      <c r="K18" s="262">
        <f t="shared" ref="K18:L18" si="6">IF(K11&gt;0,K12/K11,0)</f>
        <v>0</v>
      </c>
      <c r="L18" s="262">
        <f t="shared" si="6"/>
        <v>0</v>
      </c>
      <c r="M18" s="263">
        <f t="shared" si="5"/>
        <v>0</v>
      </c>
      <c r="N18" s="257"/>
      <c r="O18" s="235"/>
      <c r="P18" s="28"/>
      <c r="Q18" s="28"/>
      <c r="R18" s="249"/>
      <c r="S18" s="258"/>
      <c r="T18" s="259"/>
      <c r="U18" s="253"/>
      <c r="V18" s="28"/>
    </row>
    <row r="19" spans="2:25" s="260" customFormat="1" ht="15" customHeight="1" x14ac:dyDescent="0.25">
      <c r="B19" s="253"/>
      <c r="C19" s="261" t="s">
        <v>223</v>
      </c>
      <c r="D19" s="262">
        <f>IF(D12&gt;0,D13/D12,0)</f>
        <v>0</v>
      </c>
      <c r="E19" s="262">
        <f t="shared" ref="E19:M19" si="7">IF(E12&gt;0,E13/E12,0)</f>
        <v>0</v>
      </c>
      <c r="F19" s="262">
        <f t="shared" si="7"/>
        <v>0</v>
      </c>
      <c r="G19" s="262">
        <f t="shared" si="7"/>
        <v>0</v>
      </c>
      <c r="H19" s="262">
        <f t="shared" si="7"/>
        <v>0</v>
      </c>
      <c r="I19" s="262">
        <f t="shared" si="7"/>
        <v>0</v>
      </c>
      <c r="J19" s="262">
        <f t="shared" si="7"/>
        <v>0</v>
      </c>
      <c r="K19" s="262">
        <f t="shared" ref="K19:L19" si="8">IF(K12&gt;0,K13/K12,0)</f>
        <v>0</v>
      </c>
      <c r="L19" s="262">
        <f t="shared" si="8"/>
        <v>0</v>
      </c>
      <c r="M19" s="263">
        <f t="shared" si="7"/>
        <v>0</v>
      </c>
      <c r="N19" s="257"/>
      <c r="O19" s="235"/>
      <c r="P19" s="28"/>
      <c r="Q19" s="28"/>
      <c r="R19" s="28"/>
      <c r="S19" s="264"/>
      <c r="T19" s="259"/>
      <c r="U19" s="253"/>
      <c r="V19" s="28"/>
    </row>
    <row r="20" spans="2:25" s="260" customFormat="1" ht="15" customHeight="1" x14ac:dyDescent="0.25">
      <c r="B20" s="253"/>
      <c r="C20" s="261" t="s">
        <v>18</v>
      </c>
      <c r="D20" s="265">
        <f>IF(D10&gt;0,D$15/D10,0)</f>
        <v>0</v>
      </c>
      <c r="E20" s="265">
        <f t="shared" ref="E20:M20" si="9">IF(E10&gt;0,E$15/E10,0)</f>
        <v>0</v>
      </c>
      <c r="F20" s="265">
        <f t="shared" si="9"/>
        <v>0</v>
      </c>
      <c r="G20" s="265">
        <f t="shared" si="9"/>
        <v>0</v>
      </c>
      <c r="H20" s="265">
        <f t="shared" si="9"/>
        <v>0</v>
      </c>
      <c r="I20" s="265">
        <f t="shared" si="9"/>
        <v>0</v>
      </c>
      <c r="J20" s="265">
        <f t="shared" si="9"/>
        <v>0</v>
      </c>
      <c r="K20" s="265">
        <f t="shared" ref="K20:L20" si="10">IF(K10&gt;0,K$15/K10,0)</f>
        <v>0</v>
      </c>
      <c r="L20" s="265">
        <f t="shared" si="10"/>
        <v>0</v>
      </c>
      <c r="M20" s="266">
        <f t="shared" si="9"/>
        <v>0</v>
      </c>
      <c r="N20" s="257"/>
      <c r="O20" s="235"/>
      <c r="P20" s="28"/>
      <c r="Q20" s="28"/>
      <c r="R20" s="28"/>
      <c r="S20" s="264"/>
      <c r="T20" s="259"/>
      <c r="U20" s="253"/>
      <c r="V20" s="28"/>
    </row>
    <row r="21" spans="2:25" s="260" customFormat="1" ht="15" customHeight="1" x14ac:dyDescent="0.25">
      <c r="B21" s="253"/>
      <c r="C21" s="261" t="s">
        <v>19</v>
      </c>
      <c r="D21" s="265">
        <f>IF(D11&gt;0,D$15/D11,0)</f>
        <v>0</v>
      </c>
      <c r="E21" s="265">
        <f t="shared" ref="E21:M21" si="11">IF(E11&gt;0,E$15/E11,0)</f>
        <v>0</v>
      </c>
      <c r="F21" s="265">
        <f t="shared" si="11"/>
        <v>0</v>
      </c>
      <c r="G21" s="265">
        <f t="shared" si="11"/>
        <v>0</v>
      </c>
      <c r="H21" s="265">
        <f t="shared" si="11"/>
        <v>0</v>
      </c>
      <c r="I21" s="265">
        <f t="shared" si="11"/>
        <v>0</v>
      </c>
      <c r="J21" s="265">
        <f t="shared" si="11"/>
        <v>0</v>
      </c>
      <c r="K21" s="265">
        <f t="shared" ref="K21:L21" si="12">IF(K11&gt;0,K$15/K11,0)</f>
        <v>0</v>
      </c>
      <c r="L21" s="265">
        <f t="shared" si="12"/>
        <v>0</v>
      </c>
      <c r="M21" s="266">
        <f t="shared" si="11"/>
        <v>0</v>
      </c>
      <c r="N21" s="257"/>
      <c r="O21" s="235"/>
      <c r="P21" s="28"/>
      <c r="Q21" s="28"/>
      <c r="R21" s="28"/>
      <c r="S21" s="264"/>
      <c r="T21" s="259"/>
      <c r="U21" s="253"/>
      <c r="V21" s="28"/>
    </row>
    <row r="22" spans="2:25" s="260" customFormat="1" ht="15" customHeight="1" x14ac:dyDescent="0.25">
      <c r="B22" s="253"/>
      <c r="C22" s="261" t="s">
        <v>20</v>
      </c>
      <c r="D22" s="265">
        <f>IF(D12&gt;0,D$15/D12,0)</f>
        <v>0</v>
      </c>
      <c r="E22" s="265">
        <f>IF(E12&gt;0,E$15/E12,0)</f>
        <v>0</v>
      </c>
      <c r="F22" s="265">
        <f t="shared" ref="F22:M22" si="13">IF(F12&gt;0,F$15/F12,0)</f>
        <v>0</v>
      </c>
      <c r="G22" s="265">
        <f t="shared" si="13"/>
        <v>0</v>
      </c>
      <c r="H22" s="265">
        <f t="shared" si="13"/>
        <v>0</v>
      </c>
      <c r="I22" s="265">
        <f t="shared" si="13"/>
        <v>0</v>
      </c>
      <c r="J22" s="265">
        <f t="shared" si="13"/>
        <v>0</v>
      </c>
      <c r="K22" s="265">
        <f t="shared" ref="K22:L22" si="14">IF(K12&gt;0,K$15/K12,0)</f>
        <v>0</v>
      </c>
      <c r="L22" s="265">
        <f t="shared" si="14"/>
        <v>0</v>
      </c>
      <c r="M22" s="266">
        <f t="shared" si="13"/>
        <v>0</v>
      </c>
      <c r="N22" s="257"/>
      <c r="O22" s="235"/>
      <c r="P22" s="28"/>
      <c r="Q22" s="28"/>
      <c r="R22" s="28"/>
      <c r="S22" s="264"/>
      <c r="T22" s="259"/>
      <c r="U22" s="253"/>
      <c r="V22" s="28"/>
    </row>
    <row r="23" spans="2:25" s="260" customFormat="1" ht="15" customHeight="1" x14ac:dyDescent="0.35">
      <c r="B23" s="253"/>
      <c r="C23" s="261" t="s">
        <v>224</v>
      </c>
      <c r="D23" s="267">
        <f>IF(D13&gt;0,D14/D13,0)</f>
        <v>0</v>
      </c>
      <c r="E23" s="267">
        <f t="shared" ref="E23:M23" si="15">IF(E13&gt;0,E14/E13,0)</f>
        <v>0</v>
      </c>
      <c r="F23" s="267">
        <f t="shared" si="15"/>
        <v>0</v>
      </c>
      <c r="G23" s="267">
        <f t="shared" si="15"/>
        <v>0</v>
      </c>
      <c r="H23" s="267">
        <f t="shared" si="15"/>
        <v>0</v>
      </c>
      <c r="I23" s="267">
        <f t="shared" si="15"/>
        <v>0</v>
      </c>
      <c r="J23" s="267">
        <f t="shared" si="15"/>
        <v>0</v>
      </c>
      <c r="K23" s="267">
        <f t="shared" ref="K23:L23" si="16">IF(K13&gt;0,K14/K13,0)</f>
        <v>0</v>
      </c>
      <c r="L23" s="267">
        <f t="shared" si="16"/>
        <v>0</v>
      </c>
      <c r="M23" s="268">
        <f t="shared" si="15"/>
        <v>0</v>
      </c>
      <c r="N23" s="257"/>
      <c r="O23" s="235"/>
      <c r="P23" s="28"/>
      <c r="Q23" s="28"/>
      <c r="R23" s="28"/>
      <c r="S23" s="264"/>
      <c r="T23" s="259"/>
      <c r="U23" s="269"/>
      <c r="V23" s="28"/>
    </row>
    <row r="24" spans="2:25" s="260" customFormat="1" ht="15" customHeight="1" x14ac:dyDescent="0.25">
      <c r="B24" s="253"/>
      <c r="C24" s="261" t="s">
        <v>21</v>
      </c>
      <c r="D24" s="270">
        <f>IF(D15&gt;0,(D14-D15)/D15,0)</f>
        <v>0</v>
      </c>
      <c r="E24" s="270">
        <f t="shared" ref="E24:M24" si="17">IF(E15&gt;0,(E14-E15)/E15,0)</f>
        <v>0</v>
      </c>
      <c r="F24" s="270">
        <f t="shared" si="17"/>
        <v>0</v>
      </c>
      <c r="G24" s="270">
        <f t="shared" si="17"/>
        <v>0</v>
      </c>
      <c r="H24" s="270">
        <f t="shared" si="17"/>
        <v>0</v>
      </c>
      <c r="I24" s="270">
        <f t="shared" si="17"/>
        <v>0</v>
      </c>
      <c r="J24" s="270">
        <f t="shared" si="17"/>
        <v>0</v>
      </c>
      <c r="K24" s="270">
        <f t="shared" ref="K24:L24" si="18">IF(K15&gt;0,(K14-K15)/K15,0)</f>
        <v>0</v>
      </c>
      <c r="L24" s="270">
        <f t="shared" si="18"/>
        <v>0</v>
      </c>
      <c r="M24" s="271">
        <f t="shared" si="17"/>
        <v>0</v>
      </c>
      <c r="N24" s="257"/>
      <c r="O24" s="235"/>
      <c r="P24" s="28"/>
      <c r="Q24" s="28"/>
      <c r="R24" s="28"/>
      <c r="S24" s="264"/>
      <c r="T24" s="259"/>
      <c r="U24" s="253"/>
      <c r="V24" s="28"/>
    </row>
    <row r="25" spans="2:25" s="260" customFormat="1" ht="15" customHeight="1" thickBot="1" x14ac:dyDescent="0.3">
      <c r="B25" s="253"/>
      <c r="C25" s="272" t="s">
        <v>226</v>
      </c>
      <c r="D25" s="273">
        <f>D14-D15</f>
        <v>0</v>
      </c>
      <c r="E25" s="273">
        <f t="shared" ref="E25:M25" si="19">E14-E15</f>
        <v>0</v>
      </c>
      <c r="F25" s="273">
        <f t="shared" si="19"/>
        <v>0</v>
      </c>
      <c r="G25" s="273">
        <f t="shared" si="19"/>
        <v>0</v>
      </c>
      <c r="H25" s="273">
        <f t="shared" si="19"/>
        <v>0</v>
      </c>
      <c r="I25" s="273">
        <f t="shared" si="19"/>
        <v>0</v>
      </c>
      <c r="J25" s="273">
        <f t="shared" si="19"/>
        <v>0</v>
      </c>
      <c r="K25" s="273">
        <f t="shared" ref="K25:L25" si="20">K14-K15</f>
        <v>0</v>
      </c>
      <c r="L25" s="273">
        <f t="shared" si="20"/>
        <v>0</v>
      </c>
      <c r="M25" s="274">
        <f t="shared" si="19"/>
        <v>0</v>
      </c>
      <c r="N25" s="257"/>
      <c r="O25" s="275"/>
      <c r="P25" s="276"/>
      <c r="Q25" s="276"/>
      <c r="R25" s="276"/>
      <c r="S25" s="276"/>
      <c r="T25" s="277"/>
      <c r="U25" s="253"/>
      <c r="V25" s="28"/>
    </row>
    <row r="26" spans="2:25" ht="23.25" customHeight="1" thickTop="1" x14ac:dyDescent="0.25"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77"/>
      <c r="O26" s="77"/>
      <c r="P26" s="77"/>
      <c r="Q26" s="77"/>
      <c r="R26" s="77"/>
      <c r="S26" s="77"/>
      <c r="T26" s="220"/>
      <c r="U26" s="220"/>
    </row>
    <row r="27" spans="2:25" ht="8.25" customHeight="1" thickBot="1" x14ac:dyDescent="0.3"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78"/>
      <c r="R27" s="279"/>
      <c r="S27" s="279"/>
      <c r="T27" s="279"/>
      <c r="U27" s="220"/>
    </row>
    <row r="28" spans="2:25" ht="22.5" customHeight="1" thickTop="1" thickBot="1" x14ac:dyDescent="0.3">
      <c r="B28" s="220"/>
      <c r="C28" s="331" t="s">
        <v>233</v>
      </c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220"/>
      <c r="O28" s="330" t="s">
        <v>234</v>
      </c>
      <c r="P28" s="330"/>
      <c r="Q28" s="278"/>
      <c r="R28" s="279"/>
      <c r="S28" s="333" t="s">
        <v>239</v>
      </c>
      <c r="T28" s="333"/>
      <c r="U28" s="278"/>
      <c r="V28" s="278"/>
      <c r="W28" s="278"/>
    </row>
    <row r="29" spans="2:25" ht="31.5" customHeight="1" thickTop="1" thickBot="1" x14ac:dyDescent="0.3">
      <c r="B29" s="220"/>
      <c r="C29" s="280" t="str">
        <f>"Всего за " &amp;F6</f>
        <v>Всего за Январь</v>
      </c>
      <c r="D29" s="281" t="str">
        <f t="shared" ref="D29:M29" si="21">D9</f>
        <v>Директ</v>
      </c>
      <c r="E29" s="281" t="str">
        <f t="shared" si="21"/>
        <v>Adwords</v>
      </c>
      <c r="F29" s="281" t="str">
        <f t="shared" si="21"/>
        <v>Вконтакте</v>
      </c>
      <c r="G29" s="281" t="str">
        <f t="shared" si="21"/>
        <v>Поиск</v>
      </c>
      <c r="H29" s="281" t="str">
        <f t="shared" si="21"/>
        <v>Прямые</v>
      </c>
      <c r="I29" s="281" t="str">
        <f t="shared" si="21"/>
        <v>Ссылки</v>
      </c>
      <c r="J29" s="281" t="str">
        <f t="shared" si="21"/>
        <v>Instagram</v>
      </c>
      <c r="K29" s="281" t="str">
        <f t="shared" si="21"/>
        <v>…</v>
      </c>
      <c r="L29" s="281" t="str">
        <f t="shared" si="21"/>
        <v>…</v>
      </c>
      <c r="M29" s="282" t="str">
        <f t="shared" si="21"/>
        <v>Итого</v>
      </c>
      <c r="N29" s="220"/>
      <c r="O29" s="324" t="str">
        <f>"Дополнительные затраты за " &amp;VLOOKUP(D6,Справочник!A:E,5,0)</f>
        <v>Дополнительные затраты за Январь</v>
      </c>
      <c r="P29" s="325"/>
      <c r="Q29" s="278"/>
      <c r="R29" s="279"/>
      <c r="S29" s="334" t="s">
        <v>240</v>
      </c>
      <c r="T29" s="334"/>
      <c r="U29" s="77"/>
      <c r="V29" s="77"/>
      <c r="W29" s="283"/>
      <c r="X29" s="284"/>
      <c r="Y29" s="284"/>
    </row>
    <row r="30" spans="2:25" s="294" customFormat="1" ht="13.5" customHeight="1" thickBot="1" x14ac:dyDescent="0.3">
      <c r="B30" s="285"/>
      <c r="C30" s="286" t="s">
        <v>0</v>
      </c>
      <c r="D30" s="286">
        <f ca="1">OFFSET(БД!B:B,$N$11+$V30,0,1,1)+OFFSET(БД!B:B,$N$12+$V30,0,1,1)+OFFSET(БД!B:B,$N$13+$V30,0,1,1)+OFFSET(БД!B:B,$N$14+$V30,0,1,1)</f>
        <v>0</v>
      </c>
      <c r="E30" s="286">
        <f ca="1">OFFSET(БД!C:C,$N$11+$V30,0,1,1)+OFFSET(БД!C:C,$N$12+$V30,0,1,1)+OFFSET(БД!C:C,$N$13+$V30,0,1,1)+OFFSET(БД!C:C,$N$14+$V30,0,1,1)</f>
        <v>0</v>
      </c>
      <c r="F30" s="286">
        <f ca="1">OFFSET(БД!D:D,$N$11+$V30,0,1,1)+OFFSET(БД!D:D,$N$12+$V30,0,1,1)+OFFSET(БД!D:D,$N$13+$V30,0,1,1)+OFFSET(БД!D:D,$N$14+$V30,0,1,1)</f>
        <v>0</v>
      </c>
      <c r="G30" s="286">
        <f ca="1">OFFSET(БД!E:E,$N$11+$V30,0,1,1)+OFFSET(БД!E:E,$N$12+$V30,0,1,1)+OFFSET(БД!E:E,$N$13+$V30,0,1,1)+OFFSET(БД!E:E,$N$14+$V30,0,1,1)</f>
        <v>0</v>
      </c>
      <c r="H30" s="286">
        <f ca="1">OFFSET(БД!F:F,$N$11+$V30,0,1,1)+OFFSET(БД!F:F,$N$12+$V30,0,1,1)+OFFSET(БД!F:F,$N$13+$V30,0,1,1)+OFFSET(БД!F:F,$N$14+$V30,0,1,1)</f>
        <v>0</v>
      </c>
      <c r="I30" s="286">
        <f ca="1">OFFSET(БД!G:G,$N$11+$V30,0,1,1)+OFFSET(БД!G:G,$N$12+$V30,0,1,1)+OFFSET(БД!G:G,$N$13+$V30,0,1,1)+OFFSET(БД!G:G,$N$14+$V30,0,1,1)</f>
        <v>0</v>
      </c>
      <c r="J30" s="286">
        <f ca="1">OFFSET(БД!H:H,$N$11+$V30,0,1,1)+OFFSET(БД!H:H,$N$12+$V30,0,1,1)+OFFSET(БД!H:H,$N$13+$V30,0,1,1)+OFFSET(БД!H:H,$N$14+$V30,0,1,1)</f>
        <v>0</v>
      </c>
      <c r="K30" s="286">
        <f ca="1">OFFSET(БД!H:H,$N$11+$V30,0,1,1)+OFFSET(БД!H:H,$N$12+$V30,0,1,1)+OFFSET(БД!H:H,$N$13+$V30,0,1,1)+OFFSET(БД!H:H,$N$14+$V30,0,1,1)</f>
        <v>0</v>
      </c>
      <c r="L30" s="286">
        <f ca="1">OFFSET(БД!J:J,$N$11+$V30,0,1,1)+OFFSET(БД!J:J,$N$12+$V30,0,1,1)+OFFSET(БД!J:J,$N$13+$V30,0,1,1)+OFFSET(БД!J:J,$N$14+$V30,0,1,1)</f>
        <v>0</v>
      </c>
      <c r="M30" s="286">
        <f ca="1">OFFSET(БД!K:K,$N$11+$V30,0,1,1)+OFFSET(БД!K:K,$N$12+$V30,0,1,1)+OFFSET(БД!K:K,$N$13+$V30,0,1,1)+OFFSET(БД!K:K,$N$14+$V30,0,1,1)</f>
        <v>0</v>
      </c>
      <c r="N30" s="285"/>
      <c r="O30" s="287" t="s">
        <v>26</v>
      </c>
      <c r="P30" s="288" t="s">
        <v>217</v>
      </c>
      <c r="Q30" s="289"/>
      <c r="R30" s="279"/>
      <c r="S30" s="334" t="s">
        <v>241</v>
      </c>
      <c r="T30" s="334"/>
      <c r="U30" s="290"/>
      <c r="V30" s="291">
        <v>0</v>
      </c>
      <c r="W30" s="292"/>
      <c r="X30" s="293"/>
      <c r="Y30" s="293"/>
    </row>
    <row r="31" spans="2:25" s="294" customFormat="1" ht="13.5" customHeight="1" x14ac:dyDescent="0.25">
      <c r="B31" s="285"/>
      <c r="C31" s="295" t="s">
        <v>1</v>
      </c>
      <c r="D31" s="295">
        <f ca="1">OFFSET(БД!B:B,$N$11+$V31,0,1,1)+OFFSET(БД!B:B,$N$12+$V31,0,1,1)+OFFSET(БД!B:B,$N$13+$V31,0,1,1)+OFFSET(БД!B:B,$N$14+$V31,0,1,1)</f>
        <v>0</v>
      </c>
      <c r="E31" s="295">
        <f ca="1">OFFSET(БД!C:C,$N$11+$V31,0,1,1)+OFFSET(БД!C:C,$N$12+$V31,0,1,1)+OFFSET(БД!C:C,$N$13+$V31,0,1,1)+OFFSET(БД!C:C,$N$14+$V31,0,1,1)</f>
        <v>0</v>
      </c>
      <c r="F31" s="295">
        <f ca="1">OFFSET(БД!D:D,$N$11+$V31,0,1,1)+OFFSET(БД!D:D,$N$12+$V31,0,1,1)+OFFSET(БД!D:D,$N$13+$V31,0,1,1)+OFFSET(БД!D:D,$N$14+$V31,0,1,1)</f>
        <v>0</v>
      </c>
      <c r="G31" s="295">
        <f ca="1">OFFSET(БД!E:E,$N$11+$V31,0,1,1)+OFFSET(БД!E:E,$N$12+$V31,0,1,1)+OFFSET(БД!E:E,$N$13+$V31,0,1,1)+OFFSET(БД!E:E,$N$14+$V31,0,1,1)</f>
        <v>0</v>
      </c>
      <c r="H31" s="295">
        <f ca="1">OFFSET(БД!F:F,$N$11+$V31,0,1,1)+OFFSET(БД!F:F,$N$12+$V31,0,1,1)+OFFSET(БД!F:F,$N$13+$V31,0,1,1)+OFFSET(БД!F:F,$N$14+$V31,0,1,1)</f>
        <v>0</v>
      </c>
      <c r="I31" s="295">
        <f ca="1">OFFSET(БД!G:G,$N$11+$V31,0,1,1)+OFFSET(БД!G:G,$N$12+$V31,0,1,1)+OFFSET(БД!G:G,$N$13+$V31,0,1,1)+OFFSET(БД!G:G,$N$14+$V31,0,1,1)</f>
        <v>0</v>
      </c>
      <c r="J31" s="295">
        <f ca="1">OFFSET(БД!H:H,$N$11+$V31,0,1,1)+OFFSET(БД!H:H,$N$12+$V31,0,1,1)+OFFSET(БД!H:H,$N$13+$V31,0,1,1)+OFFSET(БД!H:H,$N$14+$V31,0,1,1)</f>
        <v>0</v>
      </c>
      <c r="K31" s="295">
        <f ca="1">OFFSET(БД!H:H,$N$11+$V31,0,1,1)+OFFSET(БД!H:H,$N$12+$V31,0,1,1)+OFFSET(БД!H:H,$N$13+$V31,0,1,1)+OFFSET(БД!H:H,$N$14+$V31,0,1,1)</f>
        <v>0</v>
      </c>
      <c r="L31" s="295">
        <f ca="1">OFFSET(БД!J:J,$N$11+$V31,0,1,1)+OFFSET(БД!J:J,$N$12+$V31,0,1,1)+OFFSET(БД!J:J,$N$13+$V31,0,1,1)+OFFSET(БД!J:J,$N$14+$V31,0,1,1)</f>
        <v>0</v>
      </c>
      <c r="M31" s="295">
        <f ca="1">OFFSET(БД!K:K,$N$11+$V31,0,1,1)+OFFSET(БД!K:K,$N$12+$V31,0,1,1)+OFFSET(БД!K:K,$N$13+$V31,0,1,1)+OFFSET(БД!K:K,$N$14+$V31,0,1,1)</f>
        <v>0</v>
      </c>
      <c r="N31" s="285"/>
      <c r="O31" s="296"/>
      <c r="P31" s="297"/>
      <c r="Q31" s="289"/>
      <c r="R31" s="279"/>
      <c r="S31" s="334"/>
      <c r="T31" s="334"/>
      <c r="U31" s="290"/>
      <c r="V31" s="291">
        <v>1</v>
      </c>
      <c r="W31" s="292"/>
      <c r="X31" s="293"/>
      <c r="Y31" s="293"/>
    </row>
    <row r="32" spans="2:25" s="294" customFormat="1" ht="13.5" customHeight="1" x14ac:dyDescent="0.25">
      <c r="B32" s="285"/>
      <c r="C32" s="295" t="s">
        <v>2</v>
      </c>
      <c r="D32" s="295">
        <f ca="1">OFFSET(БД!B:B,$N$11+$V32,0,1,1)+OFFSET(БД!B:B,$N$12+$V32,0,1,1)+OFFSET(БД!B:B,$N$13+$V32,0,1,1)+OFFSET(БД!B:B,$N$14+$V32,0,1,1)</f>
        <v>0</v>
      </c>
      <c r="E32" s="295">
        <f ca="1">OFFSET(БД!C:C,$N$11+$V32,0,1,1)+OFFSET(БД!C:C,$N$12+$V32,0,1,1)+OFFSET(БД!C:C,$N$13+$V32,0,1,1)+OFFSET(БД!C:C,$N$14+$V32,0,1,1)</f>
        <v>0</v>
      </c>
      <c r="F32" s="295">
        <f ca="1">OFFSET(БД!D:D,$N$11+$V32,0,1,1)+OFFSET(БД!D:D,$N$12+$V32,0,1,1)+OFFSET(БД!D:D,$N$13+$V32,0,1,1)+OFFSET(БД!D:D,$N$14+$V32,0,1,1)</f>
        <v>0</v>
      </c>
      <c r="G32" s="295">
        <f ca="1">OFFSET(БД!E:E,$N$11+$V32,0,1,1)+OFFSET(БД!E:E,$N$12+$V32,0,1,1)+OFFSET(БД!E:E,$N$13+$V32,0,1,1)+OFFSET(БД!E:E,$N$14+$V32,0,1,1)</f>
        <v>0</v>
      </c>
      <c r="H32" s="295">
        <f ca="1">OFFSET(БД!F:F,$N$11+$V32,0,1,1)+OFFSET(БД!F:F,$N$12+$V32,0,1,1)+OFFSET(БД!F:F,$N$13+$V32,0,1,1)+OFFSET(БД!F:F,$N$14+$V32,0,1,1)</f>
        <v>0</v>
      </c>
      <c r="I32" s="295">
        <f ca="1">OFFSET(БД!G:G,$N$11+$V32,0,1,1)+OFFSET(БД!G:G,$N$12+$V32,0,1,1)+OFFSET(БД!G:G,$N$13+$V32,0,1,1)+OFFSET(БД!G:G,$N$14+$V32,0,1,1)</f>
        <v>0</v>
      </c>
      <c r="J32" s="295">
        <f ca="1">OFFSET(БД!H:H,$N$11+$V32,0,1,1)+OFFSET(БД!H:H,$N$12+$V32,0,1,1)+OFFSET(БД!H:H,$N$13+$V32,0,1,1)+OFFSET(БД!H:H,$N$14+$V32,0,1,1)</f>
        <v>0</v>
      </c>
      <c r="K32" s="295">
        <f ca="1">OFFSET(БД!H:H,$N$11+$V32,0,1,1)+OFFSET(БД!H:H,$N$12+$V32,0,1,1)+OFFSET(БД!H:H,$N$13+$V32,0,1,1)+OFFSET(БД!H:H,$N$14+$V32,0,1,1)</f>
        <v>0</v>
      </c>
      <c r="L32" s="295">
        <f ca="1">OFFSET(БД!J:J,$N$11+$V32,0,1,1)+OFFSET(БД!J:J,$N$12+$V32,0,1,1)+OFFSET(БД!J:J,$N$13+$V32,0,1,1)+OFFSET(БД!J:J,$N$14+$V32,0,1,1)</f>
        <v>0</v>
      </c>
      <c r="M32" s="295">
        <f ca="1">OFFSET(БД!K:K,$N$11+$V32,0,1,1)+OFFSET(БД!K:K,$N$12+$V32,0,1,1)+OFFSET(БД!K:K,$N$13+$V32,0,1,1)+OFFSET(БД!K:K,$N$14+$V32,0,1,1)</f>
        <v>0</v>
      </c>
      <c r="N32" s="285"/>
      <c r="O32" s="298"/>
      <c r="P32" s="299"/>
      <c r="Q32" s="289"/>
      <c r="R32" s="279"/>
      <c r="S32" s="334"/>
      <c r="T32" s="334"/>
      <c r="U32" s="290"/>
      <c r="V32" s="291">
        <v>2</v>
      </c>
      <c r="W32" s="292"/>
      <c r="X32" s="293"/>
      <c r="Y32" s="293"/>
    </row>
    <row r="33" spans="2:25" s="294" customFormat="1" ht="13.5" customHeight="1" x14ac:dyDescent="0.25">
      <c r="B33" s="285"/>
      <c r="C33" s="295" t="s">
        <v>3</v>
      </c>
      <c r="D33" s="295">
        <f ca="1">OFFSET(БД!B:B,$N$11+$V33,0,1,1)+OFFSET(БД!B:B,$N$12+$V33,0,1,1)+OFFSET(БД!B:B,$N$13+$V33,0,1,1)+OFFSET(БД!B:B,$N$14+$V33,0,1,1)</f>
        <v>0</v>
      </c>
      <c r="E33" s="295">
        <f ca="1">OFFSET(БД!C:C,$N$11+$V33,0,1,1)+OFFSET(БД!C:C,$N$12+$V33,0,1,1)+OFFSET(БД!C:C,$N$13+$V33,0,1,1)+OFFSET(БД!C:C,$N$14+$V33,0,1,1)</f>
        <v>0</v>
      </c>
      <c r="F33" s="295">
        <f ca="1">OFFSET(БД!D:D,$N$11+$V33,0,1,1)+OFFSET(БД!D:D,$N$12+$V33,0,1,1)+OFFSET(БД!D:D,$N$13+$V33,0,1,1)+OFFSET(БД!D:D,$N$14+$V33,0,1,1)</f>
        <v>0</v>
      </c>
      <c r="G33" s="295">
        <f ca="1">OFFSET(БД!E:E,$N$11+$V33,0,1,1)+OFFSET(БД!E:E,$N$12+$V33,0,1,1)+OFFSET(БД!E:E,$N$13+$V33,0,1,1)+OFFSET(БД!E:E,$N$14+$V33,0,1,1)</f>
        <v>0</v>
      </c>
      <c r="H33" s="295">
        <f ca="1">OFFSET(БД!F:F,$N$11+$V33,0,1,1)+OFFSET(БД!F:F,$N$12+$V33,0,1,1)+OFFSET(БД!F:F,$N$13+$V33,0,1,1)+OFFSET(БД!F:F,$N$14+$V33,0,1,1)</f>
        <v>0</v>
      </c>
      <c r="I33" s="295">
        <f ca="1">OFFSET(БД!G:G,$N$11+$V33,0,1,1)+OFFSET(БД!G:G,$N$12+$V33,0,1,1)+OFFSET(БД!G:G,$N$13+$V33,0,1,1)+OFFSET(БД!G:G,$N$14+$V33,0,1,1)</f>
        <v>0</v>
      </c>
      <c r="J33" s="295">
        <f ca="1">OFFSET(БД!H:H,$N$11+$V33,0,1,1)+OFFSET(БД!H:H,$N$12+$V33,0,1,1)+OFFSET(БД!H:H,$N$13+$V33,0,1,1)+OFFSET(БД!H:H,$N$14+$V33,0,1,1)</f>
        <v>0</v>
      </c>
      <c r="K33" s="295">
        <f ca="1">OFFSET(БД!H:H,$N$11+$V33,0,1,1)+OFFSET(БД!H:H,$N$12+$V33,0,1,1)+OFFSET(БД!H:H,$N$13+$V33,0,1,1)+OFFSET(БД!H:H,$N$14+$V33,0,1,1)</f>
        <v>0</v>
      </c>
      <c r="L33" s="295">
        <f ca="1">OFFSET(БД!J:J,$N$11+$V33,0,1,1)+OFFSET(БД!J:J,$N$12+$V33,0,1,1)+OFFSET(БД!J:J,$N$13+$V33,0,1,1)+OFFSET(БД!J:J,$N$14+$V33,0,1,1)</f>
        <v>0</v>
      </c>
      <c r="M33" s="295">
        <f ca="1">OFFSET(БД!K:K,$N$11+$V33,0,1,1)+OFFSET(БД!K:K,$N$12+$V33,0,1,1)+OFFSET(БД!K:K,$N$13+$V33,0,1,1)+OFFSET(БД!K:K,$N$14+$V33,0,1,1)</f>
        <v>0</v>
      </c>
      <c r="N33" s="285"/>
      <c r="O33" s="300"/>
      <c r="P33" s="299"/>
      <c r="Q33" s="289"/>
      <c r="R33" s="279"/>
      <c r="S33" s="334"/>
      <c r="T33" s="334"/>
      <c r="U33" s="290"/>
      <c r="V33" s="291">
        <v>3</v>
      </c>
      <c r="W33" s="292"/>
      <c r="X33" s="293"/>
      <c r="Y33" s="293"/>
    </row>
    <row r="34" spans="2:25" s="294" customFormat="1" ht="13.5" customHeight="1" x14ac:dyDescent="0.25">
      <c r="B34" s="285"/>
      <c r="C34" s="295" t="s">
        <v>4</v>
      </c>
      <c r="D34" s="301">
        <f ca="1">OFFSET(БД!B:B,$N$11+$V34,0,1,1)+OFFSET(БД!B:B,$N$12+$V34,0,1,1)+OFFSET(БД!B:B,$N$13+$V34,0,1,1)+OFFSET(БД!B:B,$N$14+$V34,0,1,1)</f>
        <v>0</v>
      </c>
      <c r="E34" s="301">
        <f ca="1">OFFSET(БД!C:C,$N$11+$V34,0,1,1)+OFFSET(БД!C:C,$N$12+$V34,0,1,1)+OFFSET(БД!C:C,$N$13+$V34,0,1,1)+OFFSET(БД!C:C,$N$14+$V34,0,1,1)</f>
        <v>0</v>
      </c>
      <c r="F34" s="301">
        <f ca="1">OFFSET(БД!D:D,$N$11+$V34,0,1,1)+OFFSET(БД!D:D,$N$12+$V34,0,1,1)+OFFSET(БД!D:D,$N$13+$V34,0,1,1)+OFFSET(БД!D:D,$N$14+$V34,0,1,1)</f>
        <v>0</v>
      </c>
      <c r="G34" s="301">
        <f ca="1">OFFSET(БД!E:E,$N$11+$V34,0,1,1)+OFFSET(БД!E:E,$N$12+$V34,0,1,1)+OFFSET(БД!E:E,$N$13+$V34,0,1,1)+OFFSET(БД!E:E,$N$14+$V34,0,1,1)</f>
        <v>0</v>
      </c>
      <c r="H34" s="301">
        <f ca="1">OFFSET(БД!F:F,$N$11+$V34,0,1,1)+OFFSET(БД!F:F,$N$12+$V34,0,1,1)+OFFSET(БД!F:F,$N$13+$V34,0,1,1)+OFFSET(БД!F:F,$N$14+$V34,0,1,1)</f>
        <v>0</v>
      </c>
      <c r="I34" s="301">
        <f ca="1">OFFSET(БД!G:G,$N$11+$V34,0,1,1)+OFFSET(БД!G:G,$N$12+$V34,0,1,1)+OFFSET(БД!G:G,$N$13+$V34,0,1,1)+OFFSET(БД!G:G,$N$14+$V34,0,1,1)</f>
        <v>0</v>
      </c>
      <c r="J34" s="301">
        <f ca="1">OFFSET(БД!H:H,$N$11+$V34,0,1,1)+OFFSET(БД!H:H,$N$12+$V34,0,1,1)+OFFSET(БД!H:H,$N$13+$V34,0,1,1)+OFFSET(БД!H:H,$N$14+$V34,0,1,1)</f>
        <v>0</v>
      </c>
      <c r="K34" s="301">
        <f ca="1">OFFSET(БД!H:H,$N$11+$V34,0,1,1)+OFFSET(БД!H:H,$N$12+$V34,0,1,1)+OFFSET(БД!H:H,$N$13+$V34,0,1,1)+OFFSET(БД!H:H,$N$14+$V34,0,1,1)</f>
        <v>0</v>
      </c>
      <c r="L34" s="301">
        <f ca="1">OFFSET(БД!J:J,$N$11+$V34,0,1,1)+OFFSET(БД!J:J,$N$12+$V34,0,1,1)+OFFSET(БД!J:J,$N$13+$V34,0,1,1)+OFFSET(БД!J:J,$N$14+$V34,0,1,1)</f>
        <v>0</v>
      </c>
      <c r="M34" s="301">
        <f ca="1">OFFSET(БД!K:K,$N$11+$V34,0,1,1)+OFFSET(БД!K:K,$N$12+$V34,0,1,1)+OFFSET(БД!K:K,$N$13+$V34,0,1,1)+OFFSET(БД!K:K,$N$14+$V34,0,1,1)</f>
        <v>0</v>
      </c>
      <c r="N34" s="285"/>
      <c r="O34" s="300"/>
      <c r="P34" s="299"/>
      <c r="Q34" s="289"/>
      <c r="R34" s="279"/>
      <c r="S34" s="334" t="s">
        <v>242</v>
      </c>
      <c r="T34" s="334"/>
      <c r="U34" s="290"/>
      <c r="V34" s="291"/>
      <c r="W34" s="292"/>
      <c r="X34" s="293"/>
      <c r="Y34" s="293"/>
    </row>
    <row r="35" spans="2:25" s="294" customFormat="1" ht="13.5" customHeight="1" thickBot="1" x14ac:dyDescent="0.3">
      <c r="B35" s="285"/>
      <c r="C35" s="302" t="s">
        <v>5</v>
      </c>
      <c r="D35" s="303">
        <f ca="1">OFFSET(БД!B:B,$N$11+$V35,0,1,1)+OFFSET(БД!B:B,$N$12+$V35,0,1,1)+OFFSET(БД!B:B,$N$13+$V35,0,1,1)+OFFSET(БД!B:B,$N$14+$V35,0,1,1)</f>
        <v>0</v>
      </c>
      <c r="E35" s="303">
        <f ca="1">OFFSET(БД!C:C,$N$11+$V35,0,1,1)+OFFSET(БД!C:C,$N$12+$V35,0,1,1)+OFFSET(БД!C:C,$N$13+$V35,0,1,1)+OFFSET(БД!C:C,$N$14+$V35,0,1,1)</f>
        <v>0</v>
      </c>
      <c r="F35" s="303">
        <f ca="1">OFFSET(БД!D:D,$N$11+$V35,0,1,1)+OFFSET(БД!D:D,$N$12+$V35,0,1,1)+OFFSET(БД!D:D,$N$13+$V35,0,1,1)+OFFSET(БД!D:D,$N$14+$V35,0,1,1)</f>
        <v>0</v>
      </c>
      <c r="G35" s="303">
        <f ca="1">OFFSET(БД!E:E,$N$11+$V35,0,1,1)+OFFSET(БД!E:E,$N$12+$V35,0,1,1)+OFFSET(БД!E:E,$N$13+$V35,0,1,1)+OFFSET(БД!E:E,$N$14+$V35,0,1,1)</f>
        <v>0</v>
      </c>
      <c r="H35" s="303">
        <f ca="1">OFFSET(БД!F:F,$N$11+$V35,0,1,1)+OFFSET(БД!F:F,$N$12+$V35,0,1,1)+OFFSET(БД!F:F,$N$13+$V35,0,1,1)+OFFSET(БД!F:F,$N$14+$V35,0,1,1)</f>
        <v>0</v>
      </c>
      <c r="I35" s="303">
        <f ca="1">OFFSET(БД!G:G,$N$11+$V35,0,1,1)+OFFSET(БД!G:G,$N$12+$V35,0,1,1)+OFFSET(БД!G:G,$N$13+$V35,0,1,1)+OFFSET(БД!G:G,$N$14+$V35,0,1,1)</f>
        <v>0</v>
      </c>
      <c r="J35" s="303">
        <f ca="1">OFFSET(БД!H:H,$N$11+$V35,0,1,1)+OFFSET(БД!H:H,$N$12+$V35,0,1,1)+OFFSET(БД!H:H,$N$13+$V35,0,1,1)+OFFSET(БД!H:H,$N$14+$V35,0,1,1)</f>
        <v>0</v>
      </c>
      <c r="K35" s="303">
        <f ca="1">OFFSET(БД!H:H,$N$11+$V35,0,1,1)+OFFSET(БД!H:H,$N$12+$V35,0,1,1)+OFFSET(БД!H:H,$N$13+$V35,0,1,1)+OFFSET(БД!H:H,$N$14+$V35,0,1,1)</f>
        <v>0</v>
      </c>
      <c r="L35" s="303">
        <f ca="1">OFFSET(БД!J:J,$N$11+$V35,0,1,1)+OFFSET(БД!J:J,$N$12+$V35,0,1,1)+OFFSET(БД!J:J,$N$13+$V35,0,1,1)+OFFSET(БД!J:J,$N$14+$V35,0,1,1)</f>
        <v>0</v>
      </c>
      <c r="M35" s="303">
        <f ca="1">OFFSET(БД!K:K,$N$11+$V35,0,1,1)+OFFSET(БД!K:K,$N$12+$V35,0,1,1)+OFFSET(БД!K:K,$N$13+$V35,0,1,1)+OFFSET(БД!K:K,$N$14+$V35,0,1,1)</f>
        <v>0</v>
      </c>
      <c r="N35" s="285"/>
      <c r="O35" s="300"/>
      <c r="P35" s="299"/>
      <c r="Q35" s="289"/>
      <c r="R35" s="279"/>
      <c r="S35" s="334"/>
      <c r="T35" s="334"/>
      <c r="U35" s="290"/>
      <c r="V35" s="291">
        <v>5</v>
      </c>
      <c r="W35" s="292"/>
      <c r="X35" s="293"/>
      <c r="Y35" s="293"/>
    </row>
    <row r="36" spans="2:25" s="294" customFormat="1" ht="13.5" customHeight="1" thickBot="1" x14ac:dyDescent="0.3">
      <c r="B36" s="285"/>
      <c r="C36" s="304"/>
      <c r="D36" s="305"/>
      <c r="E36" s="305"/>
      <c r="F36" s="305"/>
      <c r="G36" s="305"/>
      <c r="H36" s="305"/>
      <c r="I36" s="305"/>
      <c r="J36" s="305"/>
      <c r="K36" s="305"/>
      <c r="L36" s="305"/>
      <c r="M36" s="306"/>
      <c r="N36" s="285"/>
      <c r="O36" s="300"/>
      <c r="P36" s="299"/>
      <c r="Q36" s="289"/>
      <c r="R36" s="279"/>
      <c r="S36" s="334"/>
      <c r="T36" s="334"/>
      <c r="U36" s="290"/>
      <c r="V36" s="291"/>
      <c r="W36" s="292"/>
      <c r="X36" s="293"/>
      <c r="Y36" s="293"/>
    </row>
    <row r="37" spans="2:25" s="294" customFormat="1" ht="13.5" customHeight="1" x14ac:dyDescent="0.25">
      <c r="B37" s="285"/>
      <c r="C37" s="307" t="s">
        <v>221</v>
      </c>
      <c r="D37" s="255">
        <f ca="1">IF(D30&gt;0,D31/D30,0)</f>
        <v>0</v>
      </c>
      <c r="E37" s="255">
        <f t="shared" ref="E37:M37" ca="1" si="22">IF(E30&gt;0,E31/E30,0)</f>
        <v>0</v>
      </c>
      <c r="F37" s="255">
        <f t="shared" ca="1" si="22"/>
        <v>0</v>
      </c>
      <c r="G37" s="255">
        <f t="shared" ca="1" si="22"/>
        <v>0</v>
      </c>
      <c r="H37" s="255">
        <f t="shared" ca="1" si="22"/>
        <v>0</v>
      </c>
      <c r="I37" s="255">
        <f t="shared" ca="1" si="22"/>
        <v>0</v>
      </c>
      <c r="J37" s="255">
        <f t="shared" ca="1" si="22"/>
        <v>0</v>
      </c>
      <c r="K37" s="255">
        <f t="shared" ref="K37" ca="1" si="23">IF(K30&gt;0,K31/K30,0)</f>
        <v>0</v>
      </c>
      <c r="L37" s="255">
        <f t="shared" ca="1" si="22"/>
        <v>0</v>
      </c>
      <c r="M37" s="255">
        <f t="shared" ca="1" si="22"/>
        <v>0</v>
      </c>
      <c r="N37" s="285"/>
      <c r="O37" s="300"/>
      <c r="P37" s="299"/>
      <c r="Q37" s="289"/>
      <c r="R37" s="279"/>
      <c r="S37" s="334"/>
      <c r="T37" s="334"/>
      <c r="U37" s="290"/>
      <c r="V37" s="291" t="str">
        <f ca="1">CONCATENATE(C30," ", M30)</f>
        <v>Клики 0</v>
      </c>
      <c r="W37" s="291" t="str">
        <f ca="1">CONCATENATE(X37," ", ROUND(M37*100,2)&amp;"%")</f>
        <v>CVкл-зая 0%</v>
      </c>
      <c r="X37" s="308" t="s">
        <v>236</v>
      </c>
      <c r="Y37" s="293"/>
    </row>
    <row r="38" spans="2:25" s="294" customFormat="1" ht="13.5" customHeight="1" x14ac:dyDescent="0.25">
      <c r="B38" s="285"/>
      <c r="C38" s="309" t="s">
        <v>222</v>
      </c>
      <c r="D38" s="262">
        <f ca="1">IF(D31&gt;0,D32/D31,0)</f>
        <v>0</v>
      </c>
      <c r="E38" s="262">
        <f t="shared" ref="E38:M38" ca="1" si="24">IF(E31&gt;0,E32/E31,0)</f>
        <v>0</v>
      </c>
      <c r="F38" s="262">
        <f t="shared" ca="1" si="24"/>
        <v>0</v>
      </c>
      <c r="G38" s="262">
        <f t="shared" ca="1" si="24"/>
        <v>0</v>
      </c>
      <c r="H38" s="262">
        <f t="shared" ca="1" si="24"/>
        <v>0</v>
      </c>
      <c r="I38" s="262">
        <f t="shared" ca="1" si="24"/>
        <v>0</v>
      </c>
      <c r="J38" s="262">
        <f t="shared" ca="1" si="24"/>
        <v>0</v>
      </c>
      <c r="K38" s="262">
        <f t="shared" ref="K38" ca="1" si="25">IF(K31&gt;0,K32/K31,0)</f>
        <v>0</v>
      </c>
      <c r="L38" s="262">
        <f t="shared" ca="1" si="24"/>
        <v>0</v>
      </c>
      <c r="M38" s="262">
        <f t="shared" ca="1" si="24"/>
        <v>0</v>
      </c>
      <c r="N38" s="285"/>
      <c r="O38" s="300"/>
      <c r="P38" s="299"/>
      <c r="Q38" s="289"/>
      <c r="R38" s="279"/>
      <c r="S38" s="334"/>
      <c r="T38" s="334"/>
      <c r="U38" s="290"/>
      <c r="V38" s="291" t="str">
        <f ca="1">CONCATENATE(C31," ", M31)</f>
        <v>Заявки 0</v>
      </c>
      <c r="W38" s="291" t="str">
        <f ca="1">CONCATENATE(X38," ", ROUND(M38*100,2)&amp;"%")</f>
        <v>CVзая-встр 0%</v>
      </c>
      <c r="X38" s="308" t="s">
        <v>237</v>
      </c>
      <c r="Y38" s="293"/>
    </row>
    <row r="39" spans="2:25" s="294" customFormat="1" ht="13.5" customHeight="1" x14ac:dyDescent="0.25">
      <c r="B39" s="285"/>
      <c r="C39" s="309" t="s">
        <v>223</v>
      </c>
      <c r="D39" s="262">
        <f ca="1">IF(D32&gt;0,D33/D32,0)</f>
        <v>0</v>
      </c>
      <c r="E39" s="262">
        <f t="shared" ref="E39:M39" ca="1" si="26">IF(E32&gt;0,E33/E32,0)</f>
        <v>0</v>
      </c>
      <c r="F39" s="262">
        <f t="shared" ca="1" si="26"/>
        <v>0</v>
      </c>
      <c r="G39" s="262">
        <f t="shared" ca="1" si="26"/>
        <v>0</v>
      </c>
      <c r="H39" s="262">
        <f t="shared" ca="1" si="26"/>
        <v>0</v>
      </c>
      <c r="I39" s="262">
        <f t="shared" ca="1" si="26"/>
        <v>0</v>
      </c>
      <c r="J39" s="262">
        <f t="shared" ca="1" si="26"/>
        <v>0</v>
      </c>
      <c r="K39" s="262">
        <f t="shared" ref="K39" ca="1" si="27">IF(K32&gt;0,K33/K32,0)</f>
        <v>0</v>
      </c>
      <c r="L39" s="262">
        <f t="shared" ca="1" si="26"/>
        <v>0</v>
      </c>
      <c r="M39" s="262">
        <f t="shared" ca="1" si="26"/>
        <v>0</v>
      </c>
      <c r="N39" s="285"/>
      <c r="O39" s="300"/>
      <c r="P39" s="299"/>
      <c r="Q39" s="289"/>
      <c r="R39" s="279"/>
      <c r="S39" s="334"/>
      <c r="T39" s="334"/>
      <c r="U39" s="290"/>
      <c r="V39" s="291" t="str">
        <f ca="1">CONCATENATE(C32," ", M32)</f>
        <v>Встречи 0</v>
      </c>
      <c r="W39" s="291" t="str">
        <f ca="1">CONCATENATE(X39," ", ROUND(M39*100,2)&amp;"%")</f>
        <v>CVвстр-прод 0%</v>
      </c>
      <c r="X39" s="308" t="s">
        <v>238</v>
      </c>
      <c r="Y39" s="293"/>
    </row>
    <row r="40" spans="2:25" s="294" customFormat="1" ht="13.5" customHeight="1" x14ac:dyDescent="0.25">
      <c r="B40" s="285"/>
      <c r="C40" s="309" t="s">
        <v>18</v>
      </c>
      <c r="D40" s="265">
        <f ca="1">IF(D30&gt;0,D$35/D30,0)</f>
        <v>0</v>
      </c>
      <c r="E40" s="265">
        <f t="shared" ref="E40:M40" ca="1" si="28">IF(E30&gt;0,E$35/E30,0)</f>
        <v>0</v>
      </c>
      <c r="F40" s="265">
        <f t="shared" ca="1" si="28"/>
        <v>0</v>
      </c>
      <c r="G40" s="265">
        <f t="shared" ca="1" si="28"/>
        <v>0</v>
      </c>
      <c r="H40" s="265">
        <f t="shared" ca="1" si="28"/>
        <v>0</v>
      </c>
      <c r="I40" s="265">
        <f t="shared" ca="1" si="28"/>
        <v>0</v>
      </c>
      <c r="J40" s="265">
        <f t="shared" ca="1" si="28"/>
        <v>0</v>
      </c>
      <c r="K40" s="265">
        <f t="shared" ca="1" si="28"/>
        <v>0</v>
      </c>
      <c r="L40" s="265">
        <f t="shared" ca="1" si="28"/>
        <v>0</v>
      </c>
      <c r="M40" s="265">
        <f t="shared" ca="1" si="28"/>
        <v>0</v>
      </c>
      <c r="N40" s="285"/>
      <c r="O40" s="300"/>
      <c r="P40" s="299"/>
      <c r="Q40" s="289"/>
      <c r="R40" s="279"/>
      <c r="S40" s="334"/>
      <c r="T40" s="334"/>
      <c r="U40" s="290"/>
      <c r="V40" s="291" t="str">
        <f ca="1">CONCATENATE(C33," ", M33)</f>
        <v>Продажи 0</v>
      </c>
      <c r="W40" s="292"/>
      <c r="X40" s="293"/>
      <c r="Y40" s="293"/>
    </row>
    <row r="41" spans="2:25" s="294" customFormat="1" ht="13.5" customHeight="1" x14ac:dyDescent="0.25">
      <c r="B41" s="285"/>
      <c r="C41" s="309" t="s">
        <v>19</v>
      </c>
      <c r="D41" s="267">
        <f ca="1">IF(D31&gt;0,D$35/D31,0)</f>
        <v>0</v>
      </c>
      <c r="E41" s="267">
        <f t="shared" ref="E41:M41" ca="1" si="29">IF(E31&gt;0,E$35/E31,0)</f>
        <v>0</v>
      </c>
      <c r="F41" s="267">
        <f t="shared" ca="1" si="29"/>
        <v>0</v>
      </c>
      <c r="G41" s="267">
        <f t="shared" ca="1" si="29"/>
        <v>0</v>
      </c>
      <c r="H41" s="267">
        <f t="shared" ca="1" si="29"/>
        <v>0</v>
      </c>
      <c r="I41" s="267">
        <f t="shared" ca="1" si="29"/>
        <v>0</v>
      </c>
      <c r="J41" s="267">
        <f t="shared" ca="1" si="29"/>
        <v>0</v>
      </c>
      <c r="K41" s="267">
        <f t="shared" ca="1" si="29"/>
        <v>0</v>
      </c>
      <c r="L41" s="267">
        <f t="shared" ca="1" si="29"/>
        <v>0</v>
      </c>
      <c r="M41" s="267">
        <f t="shared" ca="1" si="29"/>
        <v>0</v>
      </c>
      <c r="N41" s="285"/>
      <c r="O41" s="300"/>
      <c r="P41" s="299"/>
      <c r="Q41" s="289"/>
      <c r="R41" s="279"/>
      <c r="S41" s="323" t="s">
        <v>243</v>
      </c>
      <c r="T41" s="323"/>
      <c r="U41" s="290"/>
      <c r="V41" s="291" t="str">
        <f ca="1">CONCATENATE(C34," 
",TEXT(M34,"#\ ##0р."))</f>
        <v>Выручка 
 0р.</v>
      </c>
      <c r="W41" s="310" t="s">
        <v>213</v>
      </c>
      <c r="X41" s="293"/>
      <c r="Y41" s="293"/>
    </row>
    <row r="42" spans="2:25" s="294" customFormat="1" ht="13.5" customHeight="1" x14ac:dyDescent="0.25">
      <c r="B42" s="285"/>
      <c r="C42" s="309" t="s">
        <v>20</v>
      </c>
      <c r="D42" s="267">
        <f ca="1">IF(D32&gt;0,D$35/D32,0)</f>
        <v>0</v>
      </c>
      <c r="E42" s="267">
        <f t="shared" ref="E42:M42" ca="1" si="30">IF(E32&gt;0,E$35/E32,0)</f>
        <v>0</v>
      </c>
      <c r="F42" s="267">
        <f t="shared" ca="1" si="30"/>
        <v>0</v>
      </c>
      <c r="G42" s="267">
        <f t="shared" ca="1" si="30"/>
        <v>0</v>
      </c>
      <c r="H42" s="267">
        <f t="shared" ca="1" si="30"/>
        <v>0</v>
      </c>
      <c r="I42" s="267">
        <f t="shared" ca="1" si="30"/>
        <v>0</v>
      </c>
      <c r="J42" s="267">
        <f t="shared" ca="1" si="30"/>
        <v>0</v>
      </c>
      <c r="K42" s="267">
        <f t="shared" ca="1" si="30"/>
        <v>0</v>
      </c>
      <c r="L42" s="267">
        <f t="shared" ca="1" si="30"/>
        <v>0</v>
      </c>
      <c r="M42" s="267">
        <f t="shared" ca="1" si="30"/>
        <v>0</v>
      </c>
      <c r="N42" s="285"/>
      <c r="O42" s="300"/>
      <c r="P42" s="299"/>
      <c r="Q42" s="289"/>
      <c r="R42" s="279"/>
      <c r="S42" s="323"/>
      <c r="T42" s="323"/>
      <c r="U42" s="290"/>
      <c r="V42" s="291" t="str">
        <f ca="1">CONCATENATE(C35," ", M35)</f>
        <v>затраты 0</v>
      </c>
      <c r="W42" s="292"/>
      <c r="X42" s="293"/>
      <c r="Y42" s="293"/>
    </row>
    <row r="43" spans="2:25" s="294" customFormat="1" ht="13.5" customHeight="1" x14ac:dyDescent="0.25">
      <c r="B43" s="285"/>
      <c r="C43" s="309" t="s">
        <v>22</v>
      </c>
      <c r="D43" s="267">
        <f ca="1">IF(D33&gt;0,D34/D33,0)</f>
        <v>0</v>
      </c>
      <c r="E43" s="267">
        <f t="shared" ref="E43:M43" ca="1" si="31">IF(E33&gt;0,E34/E33,0)</f>
        <v>0</v>
      </c>
      <c r="F43" s="267">
        <f t="shared" ca="1" si="31"/>
        <v>0</v>
      </c>
      <c r="G43" s="267">
        <f t="shared" ca="1" si="31"/>
        <v>0</v>
      </c>
      <c r="H43" s="267">
        <f t="shared" ca="1" si="31"/>
        <v>0</v>
      </c>
      <c r="I43" s="267">
        <f t="shared" ca="1" si="31"/>
        <v>0</v>
      </c>
      <c r="J43" s="267">
        <f t="shared" ca="1" si="31"/>
        <v>0</v>
      </c>
      <c r="K43" s="267">
        <f t="shared" ca="1" si="31"/>
        <v>0</v>
      </c>
      <c r="L43" s="267">
        <f t="shared" ca="1" si="31"/>
        <v>0</v>
      </c>
      <c r="M43" s="267">
        <f t="shared" ca="1" si="31"/>
        <v>0</v>
      </c>
      <c r="N43" s="285"/>
      <c r="O43" s="300"/>
      <c r="P43" s="299"/>
      <c r="Q43" s="289"/>
      <c r="R43" s="279"/>
      <c r="S43" s="323"/>
      <c r="T43" s="323"/>
      <c r="U43" s="290"/>
      <c r="V43" s="291"/>
      <c r="W43" s="292"/>
      <c r="X43" s="293"/>
      <c r="Y43" s="293"/>
    </row>
    <row r="44" spans="2:25" s="294" customFormat="1" ht="13.5" customHeight="1" x14ac:dyDescent="0.25">
      <c r="B44" s="285"/>
      <c r="C44" s="309" t="s">
        <v>21</v>
      </c>
      <c r="D44" s="262">
        <f ca="1">IF(D35&gt;0,(D34-D35)/D35,0)</f>
        <v>0</v>
      </c>
      <c r="E44" s="262">
        <f t="shared" ref="E44:M44" ca="1" si="32">IF(E35&gt;0,(E34-E35)/E35,0)</f>
        <v>0</v>
      </c>
      <c r="F44" s="262">
        <f t="shared" ca="1" si="32"/>
        <v>0</v>
      </c>
      <c r="G44" s="262">
        <f t="shared" ca="1" si="32"/>
        <v>0</v>
      </c>
      <c r="H44" s="262">
        <f t="shared" ca="1" si="32"/>
        <v>0</v>
      </c>
      <c r="I44" s="262">
        <f t="shared" ca="1" si="32"/>
        <v>0</v>
      </c>
      <c r="J44" s="262">
        <f t="shared" ca="1" si="32"/>
        <v>0</v>
      </c>
      <c r="K44" s="262">
        <f t="shared" ca="1" si="32"/>
        <v>0</v>
      </c>
      <c r="L44" s="262">
        <f t="shared" ca="1" si="32"/>
        <v>0</v>
      </c>
      <c r="M44" s="262">
        <f t="shared" ca="1" si="32"/>
        <v>0</v>
      </c>
      <c r="N44" s="285"/>
      <c r="O44" s="300"/>
      <c r="P44" s="299"/>
      <c r="Q44" s="289"/>
      <c r="R44" s="279"/>
      <c r="S44" s="323"/>
      <c r="T44" s="323"/>
      <c r="U44" s="290"/>
      <c r="V44" s="291"/>
      <c r="W44" s="290"/>
    </row>
    <row r="45" spans="2:25" s="294" customFormat="1" ht="13.5" customHeight="1" thickBot="1" x14ac:dyDescent="0.3">
      <c r="B45" s="285"/>
      <c r="C45" s="311" t="s">
        <v>226</v>
      </c>
      <c r="D45" s="312">
        <f ca="1">D34-D35</f>
        <v>0</v>
      </c>
      <c r="E45" s="312">
        <f t="shared" ref="E45:M45" ca="1" si="33">E34-E35</f>
        <v>0</v>
      </c>
      <c r="F45" s="312">
        <f t="shared" ca="1" si="33"/>
        <v>0</v>
      </c>
      <c r="G45" s="312">
        <f t="shared" ca="1" si="33"/>
        <v>0</v>
      </c>
      <c r="H45" s="312">
        <f t="shared" ca="1" si="33"/>
        <v>0</v>
      </c>
      <c r="I45" s="312">
        <f t="shared" ca="1" si="33"/>
        <v>0</v>
      </c>
      <c r="J45" s="312">
        <f t="shared" ca="1" si="33"/>
        <v>0</v>
      </c>
      <c r="K45" s="312">
        <f t="shared" ca="1" si="33"/>
        <v>0</v>
      </c>
      <c r="L45" s="312">
        <f t="shared" ca="1" si="33"/>
        <v>0</v>
      </c>
      <c r="M45" s="312">
        <f t="shared" ca="1" si="33"/>
        <v>0</v>
      </c>
      <c r="N45" s="285"/>
      <c r="O45" s="313"/>
      <c r="P45" s="314"/>
      <c r="Q45" s="289"/>
      <c r="R45" s="279"/>
      <c r="S45" s="323" t="s">
        <v>251</v>
      </c>
      <c r="T45" s="323"/>
      <c r="U45" s="290"/>
      <c r="V45" s="291"/>
      <c r="W45" s="290"/>
    </row>
    <row r="46" spans="2:25" s="294" customFormat="1" ht="13.5" customHeight="1" thickBot="1" x14ac:dyDescent="0.3">
      <c r="B46" s="285"/>
      <c r="C46" s="315" t="s">
        <v>25</v>
      </c>
      <c r="D46" s="316">
        <f ca="1">M45-J46</f>
        <v>0</v>
      </c>
      <c r="E46" s="317"/>
      <c r="F46" s="317"/>
      <c r="G46" s="317"/>
      <c r="H46" s="328" t="s">
        <v>218</v>
      </c>
      <c r="I46" s="328"/>
      <c r="J46" s="316">
        <f>P46</f>
        <v>0</v>
      </c>
      <c r="K46" s="317"/>
      <c r="L46" s="317"/>
      <c r="M46" s="318"/>
      <c r="N46" s="285"/>
      <c r="O46" s="319" t="s">
        <v>102</v>
      </c>
      <c r="P46" s="320">
        <f>SUM(P31:P45)</f>
        <v>0</v>
      </c>
      <c r="Q46" s="289"/>
      <c r="R46" s="279"/>
      <c r="S46" s="323"/>
      <c r="T46" s="323"/>
      <c r="U46" s="289"/>
      <c r="V46" s="289"/>
      <c r="W46" s="289"/>
    </row>
    <row r="47" spans="2:25" ht="15.75" thickTop="1" x14ac:dyDescent="0.25"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78"/>
      <c r="R47" s="321"/>
      <c r="S47" s="278"/>
      <c r="T47" s="278"/>
      <c r="U47" s="220"/>
    </row>
    <row r="48" spans="2:25" ht="54.75" customHeight="1" x14ac:dyDescent="0.25"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</row>
    <row r="49" spans="2:21" x14ac:dyDescent="0.25"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</row>
  </sheetData>
  <sheetProtection password="EA4E" sheet="1" objects="1" scenarios="1"/>
  <protectedRanges>
    <protectedRange sqref="P9" name="Диапазон1"/>
    <protectedRange sqref="D6" name="Диапазон2"/>
    <protectedRange sqref="D10:L15" name="Диапазон3"/>
    <protectedRange sqref="O31:P45" name="Диапазон4"/>
  </protectedRanges>
  <mergeCells count="15">
    <mergeCell ref="S41:T44"/>
    <mergeCell ref="S45:T46"/>
    <mergeCell ref="O29:P29"/>
    <mergeCell ref="N5:O5"/>
    <mergeCell ref="H46:I46"/>
    <mergeCell ref="G5:H5"/>
    <mergeCell ref="I5:K5"/>
    <mergeCell ref="C8:L8"/>
    <mergeCell ref="C28:M28"/>
    <mergeCell ref="O28:P28"/>
    <mergeCell ref="O8:T8"/>
    <mergeCell ref="S28:T28"/>
    <mergeCell ref="S29:T29"/>
    <mergeCell ref="S30:T33"/>
    <mergeCell ref="S34:T40"/>
  </mergeCells>
  <pageMargins left="0.7" right="0.7" top="0.75" bottom="0.75" header="0.3" footer="0.3"/>
  <ignoredErrors>
    <ignoredError sqref="R10 F6 N11:O14" evalError="1"/>
    <ignoredError sqref="D6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 macro="[0]!load">
                <anchor moveWithCells="1">
                  <from>
                    <xdr:col>2</xdr:col>
                    <xdr:colOff>1114425</xdr:colOff>
                    <xdr:row>3</xdr:row>
                    <xdr:rowOff>180975</xdr:rowOff>
                  </from>
                  <to>
                    <xdr:col>4</xdr:col>
                    <xdr:colOff>409575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Drop Down 5">
              <controlPr defaultSize="0" autoLine="0" autoPict="0" macro="[0]!formats">
                <anchor moveWithCells="1">
                  <from>
                    <xdr:col>15</xdr:col>
                    <xdr:colOff>133350</xdr:colOff>
                    <xdr:row>3</xdr:row>
                    <xdr:rowOff>180975</xdr:rowOff>
                  </from>
                  <to>
                    <xdr:col>17</xdr:col>
                    <xdr:colOff>200025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</sheetPr>
  <dimension ref="A1:DD106"/>
  <sheetViews>
    <sheetView showGridLines="0" zoomScale="75" zoomScaleNormal="75" workbookViewId="0">
      <selection activeCell="V2" sqref="V2:AA2"/>
    </sheetView>
  </sheetViews>
  <sheetFormatPr defaultColWidth="0" defaultRowHeight="15" zeroHeight="1" x14ac:dyDescent="0.25"/>
  <cols>
    <col min="1" max="1" width="8.140625" style="40" customWidth="1"/>
    <col min="2" max="2" width="2.140625" customWidth="1"/>
    <col min="3" max="4" width="5" customWidth="1"/>
    <col min="5" max="16" width="6.7109375" customWidth="1"/>
    <col min="17" max="17" width="3.28515625" customWidth="1"/>
    <col min="18" max="18" width="1.85546875" customWidth="1"/>
    <col min="19" max="19" width="0.85546875" customWidth="1"/>
    <col min="20" max="21" width="5" customWidth="1"/>
    <col min="22" max="33" width="6.7109375" customWidth="1"/>
    <col min="34" max="34" width="3.28515625" customWidth="1"/>
    <col min="35" max="35" width="2.140625" customWidth="1"/>
    <col min="36" max="36" width="1.140625" customWidth="1"/>
    <col min="37" max="38" width="5" customWidth="1"/>
    <col min="39" max="50" width="6.7109375" customWidth="1"/>
    <col min="51" max="51" width="3.28515625" style="72" customWidth="1"/>
    <col min="52" max="74" width="0" style="72" hidden="1" customWidth="1"/>
    <col min="75" max="88" width="0.5703125" style="42" customWidth="1"/>
    <col min="89" max="94" width="5.5703125" style="42" hidden="1" customWidth="1"/>
    <col min="95" max="108" width="5.5703125" style="38" hidden="1" customWidth="1"/>
    <col min="109" max="16384" width="5.5703125" style="42" hidden="1"/>
  </cols>
  <sheetData>
    <row r="1" spans="1:108" ht="15" customHeight="1" x14ac:dyDescent="0.25">
      <c r="A1" s="4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3"/>
      <c r="X1" s="43"/>
      <c r="Y1" s="43"/>
      <c r="Z1" s="43"/>
      <c r="AA1" s="43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X1" s="42">
        <v>2</v>
      </c>
      <c r="BY1" s="42">
        <v>4</v>
      </c>
      <c r="BZ1" s="42">
        <v>6</v>
      </c>
      <c r="CA1" s="42">
        <v>8</v>
      </c>
      <c r="CB1" s="42">
        <v>10</v>
      </c>
      <c r="CC1" s="42">
        <v>12</v>
      </c>
      <c r="CD1" s="42">
        <v>14</v>
      </c>
      <c r="CE1" s="42">
        <v>16</v>
      </c>
      <c r="CF1" s="42">
        <v>18</v>
      </c>
      <c r="CG1" s="42">
        <v>20</v>
      </c>
      <c r="CH1" s="42">
        <v>22</v>
      </c>
      <c r="CI1" s="42">
        <v>24</v>
      </c>
      <c r="CJ1" s="184">
        <v>1</v>
      </c>
    </row>
    <row r="2" spans="1:108" ht="15" customHeight="1" x14ac:dyDescent="0.25">
      <c r="A2" s="42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40"/>
      <c r="W2" s="340"/>
      <c r="X2" s="340"/>
      <c r="Y2" s="340"/>
      <c r="Z2" s="340"/>
      <c r="AA2" s="340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4" t="s">
        <v>116</v>
      </c>
      <c r="BX2" s="44" t="s">
        <v>117</v>
      </c>
      <c r="BY2" s="44" t="s">
        <v>118</v>
      </c>
      <c r="BZ2" s="44" t="s">
        <v>119</v>
      </c>
      <c r="CA2" s="44" t="s">
        <v>120</v>
      </c>
      <c r="CB2" s="44" t="s">
        <v>31</v>
      </c>
      <c r="CC2" s="44" t="s">
        <v>121</v>
      </c>
      <c r="CD2" s="44" t="s">
        <v>122</v>
      </c>
      <c r="CE2" s="44" t="s">
        <v>123</v>
      </c>
      <c r="CF2" s="44" t="s">
        <v>124</v>
      </c>
      <c r="CG2" s="44" t="s">
        <v>125</v>
      </c>
      <c r="CH2" s="44" t="s">
        <v>126</v>
      </c>
      <c r="CI2" s="44" t="s">
        <v>127</v>
      </c>
      <c r="CJ2" s="42" t="str">
        <f>VLOOKUP(CJ1,Справочник!M:N,2,0)</f>
        <v>Январь</v>
      </c>
      <c r="CS2" s="38" t="s">
        <v>117</v>
      </c>
      <c r="CT2" s="38" t="s">
        <v>118</v>
      </c>
      <c r="CU2" s="38" t="s">
        <v>119</v>
      </c>
      <c r="CV2" s="38" t="s">
        <v>120</v>
      </c>
      <c r="CW2" s="38" t="s">
        <v>31</v>
      </c>
      <c r="CX2" s="38" t="s">
        <v>121</v>
      </c>
      <c r="CY2" s="38" t="s">
        <v>122</v>
      </c>
      <c r="CZ2" s="38" t="s">
        <v>123</v>
      </c>
      <c r="DA2" s="38" t="s">
        <v>124</v>
      </c>
      <c r="DB2" s="38" t="s">
        <v>125</v>
      </c>
      <c r="DC2" s="38" t="s">
        <v>126</v>
      </c>
      <c r="DD2" s="38" t="s">
        <v>127</v>
      </c>
    </row>
    <row r="3" spans="1:108" ht="19.5" customHeight="1" x14ac:dyDescent="0.25">
      <c r="A3" s="4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5" t="s">
        <v>0</v>
      </c>
      <c r="BX3" s="46" t="e">
        <f ca="1">IF((OFFSET(БД!$K:$K,CS$7+$CR3-1,0,1,1)+OFFSET(БД!$K:$K,CS$8+$CR3-1,0,1,1)+OFFSET(БД!$K:$K,CS$9+$CR3-1,0,1,1)+OFFSET(БД!$K:$K,CS$10+$CR3-1,0,1,1))&gt;0,OFFSET(БД!$K:$K,CS$7+$CR3-1,0,1,1)+OFFSET(БД!$K:$K,CS$8+$CR3-1,0,1,1)+OFFSET(БД!$K:$K,CS$9+$CR3-1,0,1,1)+OFFSET(БД!$K:$K,CS$10+$CR3-1,0,1,1),NA())</f>
        <v>#N/A</v>
      </c>
      <c r="BY3" s="46" t="e">
        <f ca="1">IF((OFFSET(БД!$K:$K,CT$7+$CR3-1,0,1,1)+OFFSET(БД!$K:$K,CT$8+$CR3-1,0,1,1)+OFFSET(БД!$K:$K,CT$9+$CR3-1,0,1,1)+OFFSET(БД!$K:$K,CT$10+$CR3-1,0,1,1))&gt;0,OFFSET(БД!$K:$K,CT$7+$CR3-1,0,1,1)+OFFSET(БД!$K:$K,CT$8+$CR3-1,0,1,1)+OFFSET(БД!$K:$K,CT$9+$CR3-1,0,1,1)+OFFSET(БД!$K:$K,CT$10+$CR3-1,0,1,1),NA())</f>
        <v>#N/A</v>
      </c>
      <c r="BZ3" s="46" t="e">
        <f ca="1">IF((OFFSET(БД!$K:$K,CU$7+$CR3-1,0,1,1)+OFFSET(БД!$K:$K,CU$8+$CR3-1,0,1,1)+OFFSET(БД!$K:$K,CU$9+$CR3-1,0,1,1)+OFFSET(БД!$K:$K,CU$10+$CR3-1,0,1,1))&gt;0,OFFSET(БД!$K:$K,CU$7+$CR3-1,0,1,1)+OFFSET(БД!$K:$K,CU$8+$CR3-1,0,1,1)+OFFSET(БД!$K:$K,CU$9+$CR3-1,0,1,1)+OFFSET(БД!$K:$K,CU$10+$CR3-1,0,1,1),NA())</f>
        <v>#N/A</v>
      </c>
      <c r="CA3" s="46" t="e">
        <f ca="1">IF((OFFSET(БД!$K:$K,CV$7+$CR3-1,0,1,1)+OFFSET(БД!$K:$K,CV$8+$CR3-1,0,1,1)+OFFSET(БД!$K:$K,CV$9+$CR3-1,0,1,1)+OFFSET(БД!$K:$K,CV$10+$CR3-1,0,1,1))&gt;0,OFFSET(БД!$K:$K,CV$7+$CR3-1,0,1,1)+OFFSET(БД!$K:$K,CV$8+$CR3-1,0,1,1)+OFFSET(БД!$K:$K,CV$9+$CR3-1,0,1,1)+OFFSET(БД!$K:$K,CV$10+$CR3-1,0,1,1),NA())</f>
        <v>#N/A</v>
      </c>
      <c r="CB3" s="46" t="e">
        <f ca="1">IF((OFFSET(БД!$K:$K,CW$7+$CR3-1,0,1,1)+OFFSET(БД!$K:$K,CW$8+$CR3-1,0,1,1)+OFFSET(БД!$K:$K,CW$9+$CR3-1,0,1,1)+OFFSET(БД!$K:$K,CW$10+$CR3-1,0,1,1))&gt;0,OFFSET(БД!$K:$K,CW$7+$CR3-1,0,1,1)+OFFSET(БД!$K:$K,CW$8+$CR3-1,0,1,1)+OFFSET(БД!$K:$K,CW$9+$CR3-1,0,1,1)+OFFSET(БД!$K:$K,CW$10+$CR3-1,0,1,1),NA())</f>
        <v>#N/A</v>
      </c>
      <c r="CC3" s="46" t="e">
        <f ca="1">IF((OFFSET(БД!$K:$K,CX$7+$CR3-1,0,1,1)+OFFSET(БД!$K:$K,CX$8+$CR3-1,0,1,1)+OFFSET(БД!$K:$K,CX$9+$CR3-1,0,1,1)+OFFSET(БД!$K:$K,CX$10+$CR3-1,0,1,1))&gt;0,OFFSET(БД!$K:$K,CX$7+$CR3-1,0,1,1)+OFFSET(БД!$K:$K,CX$8+$CR3-1,0,1,1)+OFFSET(БД!$K:$K,CX$9+$CR3-1,0,1,1)+OFFSET(БД!$K:$K,CX$10+$CR3-1,0,1,1),NA())</f>
        <v>#N/A</v>
      </c>
      <c r="CD3" s="46" t="e">
        <f ca="1">IF((OFFSET(БД!$K:$K,CY$7+$CR3-1,0,1,1)+OFFSET(БД!$K:$K,CY$8+$CR3-1,0,1,1)+OFFSET(БД!$K:$K,CY$9+$CR3-1,0,1,1)+OFFSET(БД!$K:$K,CY$10+$CR3-1,0,1,1))&gt;0,OFFSET(БД!$K:$K,CY$7+$CR3-1,0,1,1)+OFFSET(БД!$K:$K,CY$8+$CR3-1,0,1,1)+OFFSET(БД!$K:$K,CY$9+$CR3-1,0,1,1)+OFFSET(БД!$K:$K,CY$10+$CR3-1,0,1,1),NA())</f>
        <v>#N/A</v>
      </c>
      <c r="CE3" s="46" t="e">
        <f ca="1">IF((OFFSET(БД!$K:$K,CZ$7+$CR3-1,0,1,1)+OFFSET(БД!$K:$K,CZ$8+$CR3-1,0,1,1)+OFFSET(БД!$K:$K,CZ$9+$CR3-1,0,1,1)+OFFSET(БД!$K:$K,CZ$10+$CR3-1,0,1,1))&gt;0,OFFSET(БД!$K:$K,CZ$7+$CR3-1,0,1,1)+OFFSET(БД!$K:$K,CZ$8+$CR3-1,0,1,1)+OFFSET(БД!$K:$K,CZ$9+$CR3-1,0,1,1)+OFFSET(БД!$K:$K,CZ$10+$CR3-1,0,1,1),NA())</f>
        <v>#N/A</v>
      </c>
      <c r="CF3" s="46" t="e">
        <f ca="1">IF((OFFSET(БД!$K:$K,DA$7+$CR3-1,0,1,1)+OFFSET(БД!$K:$K,DA$8+$CR3-1,0,1,1)+OFFSET(БД!$K:$K,DA$9+$CR3-1,0,1,1)+OFFSET(БД!$K:$K,DA$10+$CR3-1,0,1,1))&gt;0,OFFSET(БД!$K:$K,DA$7+$CR3-1,0,1,1)+OFFSET(БД!$K:$K,DA$8+$CR3-1,0,1,1)+OFFSET(БД!$K:$K,DA$9+$CR3-1,0,1,1)+OFFSET(БД!$K:$K,DA$10+$CR3-1,0,1,1),NA())</f>
        <v>#N/A</v>
      </c>
      <c r="CG3" s="46" t="e">
        <f ca="1">IF((OFFSET(БД!$K:$K,DB$7+$CR3-1,0,1,1)+OFFSET(БД!$K:$K,DB$8+$CR3-1,0,1,1)+OFFSET(БД!$K:$K,DB$9+$CR3-1,0,1,1)+OFFSET(БД!$K:$K,DB$10+$CR3-1,0,1,1))&gt;0,OFFSET(БД!$K:$K,DB$7+$CR3-1,0,1,1)+OFFSET(БД!$K:$K,DB$8+$CR3-1,0,1,1)+OFFSET(БД!$K:$K,DB$9+$CR3-1,0,1,1)+OFFSET(БД!$K:$K,DB$10+$CR3-1,0,1,1),NA())</f>
        <v>#N/A</v>
      </c>
      <c r="CH3" s="46" t="e">
        <f ca="1">IF((OFFSET(БД!$K:$K,DC$7+$CR3-1,0,1,1)+OFFSET(БД!$K:$K,DC$8+$CR3-1,0,1,1)+OFFSET(БД!$K:$K,DC$9+$CR3-1,0,1,1)+OFFSET(БД!$K:$K,DC$10+$CR3-1,0,1,1))&gt;0,OFFSET(БД!$K:$K,DC$7+$CR3-1,0,1,1)+OFFSET(БД!$K:$K,DC$8+$CR3-1,0,1,1)+OFFSET(БД!$K:$K,DC$9+$CR3-1,0,1,1)+OFFSET(БД!$K:$K,DC$10+$CR3-1,0,1,1),NA())</f>
        <v>#N/A</v>
      </c>
      <c r="CI3" s="46" t="e">
        <f ca="1">IF((OFFSET(БД!$K:$K,DD$7+$CR3-1,0,1,1)+OFFSET(БД!$K:$K,DD$8+$CR3-1,0,1,1)+OFFSET(БД!$K:$K,DD$9+$CR3-1,0,1,1)+OFFSET(БД!$K:$K,DD$10+$CR3-1,0,1,1))&gt;0,OFFSET(БД!$K:$K,DD$7+$CR3-1,0,1,1)+OFFSET(БД!$K:$K,DD$8+$CR3-1,0,1,1)+OFFSET(БД!$K:$K,DD$9+$CR3-1,0,1,1)+OFFSET(БД!$K:$K,DD$10+$CR3-1,0,1,1),NA())</f>
        <v>#N/A</v>
      </c>
      <c r="CJ3" s="47" t="e">
        <f ca="1">IF(ABS(OFFSET($BW3,,$CJ$1,1,1))&gt;=10000,ROUND(OFFSET($BW3,,$CJ$1,1,1)/1000,1)&amp;"т",OFFSET($BW3,,$CJ$1,1,1))</f>
        <v>#N/A</v>
      </c>
      <c r="CR3" s="12">
        <v>0</v>
      </c>
      <c r="CS3" s="12">
        <v>0</v>
      </c>
      <c r="CT3" s="12">
        <f>CS6+1</f>
        <v>4</v>
      </c>
      <c r="CU3" s="12">
        <f t="shared" ref="CU3:DD3" si="0">CT6+1</f>
        <v>8</v>
      </c>
      <c r="CV3" s="12">
        <f t="shared" si="0"/>
        <v>12</v>
      </c>
      <c r="CW3" s="12">
        <f t="shared" si="0"/>
        <v>16</v>
      </c>
      <c r="CX3" s="12">
        <f t="shared" si="0"/>
        <v>20</v>
      </c>
      <c r="CY3" s="12">
        <f t="shared" si="0"/>
        <v>24</v>
      </c>
      <c r="CZ3" s="12">
        <f t="shared" si="0"/>
        <v>28</v>
      </c>
      <c r="DA3" s="12">
        <f t="shared" si="0"/>
        <v>32</v>
      </c>
      <c r="DB3" s="12">
        <f t="shared" si="0"/>
        <v>36</v>
      </c>
      <c r="DC3" s="12">
        <f t="shared" si="0"/>
        <v>40</v>
      </c>
      <c r="DD3" s="12">
        <f t="shared" si="0"/>
        <v>44</v>
      </c>
    </row>
    <row r="4" spans="1:108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5" t="s">
        <v>1</v>
      </c>
      <c r="BX4" s="46" t="e">
        <f ca="1">IF((OFFSET(БД!$K:$K,CS$7+$CR4-1,0,1,1)+OFFSET(БД!$K:$K,CS$8+$CR4-1,0,1,1)+OFFSET(БД!$K:$K,CS$9+$CR4-1,0,1,1)+OFFSET(БД!$K:$K,CS$10+$CR4-1,0,1,1))&gt;0,OFFSET(БД!$K:$K,CS$7+$CR4-1,0,1,1)+OFFSET(БД!$K:$K,CS$8+$CR4-1,0,1,1)+OFFSET(БД!$K:$K,CS$9+$CR4-1,0,1,1)+OFFSET(БД!$K:$K,CS$10+$CR4-1,0,1,1),NA())</f>
        <v>#N/A</v>
      </c>
      <c r="BY4" s="46" t="e">
        <f ca="1">IF((OFFSET(БД!$K:$K,CT$7+$CR4-1,0,1,1)+OFFSET(БД!$K:$K,CT$8+$CR4-1,0,1,1)+OFFSET(БД!$K:$K,CT$9+$CR4-1,0,1,1)+OFFSET(БД!$K:$K,CT$10+$CR4-1,0,1,1))&gt;0,OFFSET(БД!$K:$K,CT$7+$CR4-1,0,1,1)+OFFSET(БД!$K:$K,CT$8+$CR4-1,0,1,1)+OFFSET(БД!$K:$K,CT$9+$CR4-1,0,1,1)+OFFSET(БД!$K:$K,CT$10+$CR4-1,0,1,1),NA())</f>
        <v>#N/A</v>
      </c>
      <c r="BZ4" s="46" t="e">
        <f ca="1">IF((OFFSET(БД!$K:$K,CU$7+$CR4-1,0,1,1)+OFFSET(БД!$K:$K,CU$8+$CR4-1,0,1,1)+OFFSET(БД!$K:$K,CU$9+$CR4-1,0,1,1)+OFFSET(БД!$K:$K,CU$10+$CR4-1,0,1,1))&gt;0,OFFSET(БД!$K:$K,CU$7+$CR4-1,0,1,1)+OFFSET(БД!$K:$K,CU$8+$CR4-1,0,1,1)+OFFSET(БД!$K:$K,CU$9+$CR4-1,0,1,1)+OFFSET(БД!$K:$K,CU$10+$CR4-1,0,1,1),NA())</f>
        <v>#N/A</v>
      </c>
      <c r="CA4" s="46" t="e">
        <f ca="1">IF((OFFSET(БД!$K:$K,CV$7+$CR4-1,0,1,1)+OFFSET(БД!$K:$K,CV$8+$CR4-1,0,1,1)+OFFSET(БД!$K:$K,CV$9+$CR4-1,0,1,1)+OFFSET(БД!$K:$K,CV$10+$CR4-1,0,1,1))&gt;0,OFFSET(БД!$K:$K,CV$7+$CR4-1,0,1,1)+OFFSET(БД!$K:$K,CV$8+$CR4-1,0,1,1)+OFFSET(БД!$K:$K,CV$9+$CR4-1,0,1,1)+OFFSET(БД!$K:$K,CV$10+$CR4-1,0,1,1),NA())</f>
        <v>#N/A</v>
      </c>
      <c r="CB4" s="46" t="e">
        <f ca="1">IF((OFFSET(БД!$K:$K,CW$7+$CR4-1,0,1,1)+OFFSET(БД!$K:$K,CW$8+$CR4-1,0,1,1)+OFFSET(БД!$K:$K,CW$9+$CR4-1,0,1,1)+OFFSET(БД!$K:$K,CW$10+$CR4-1,0,1,1))&gt;0,OFFSET(БД!$K:$K,CW$7+$CR4-1,0,1,1)+OFFSET(БД!$K:$K,CW$8+$CR4-1,0,1,1)+OFFSET(БД!$K:$K,CW$9+$CR4-1,0,1,1)+OFFSET(БД!$K:$K,CW$10+$CR4-1,0,1,1),NA())</f>
        <v>#N/A</v>
      </c>
      <c r="CC4" s="46" t="e">
        <f ca="1">IF((OFFSET(БД!$K:$K,CX$7+$CR4-1,0,1,1)+OFFSET(БД!$K:$K,CX$8+$CR4-1,0,1,1)+OFFSET(БД!$K:$K,CX$9+$CR4-1,0,1,1)+OFFSET(БД!$K:$K,CX$10+$CR4-1,0,1,1))&gt;0,OFFSET(БД!$K:$K,CX$7+$CR4-1,0,1,1)+OFFSET(БД!$K:$K,CX$8+$CR4-1,0,1,1)+OFFSET(БД!$K:$K,CX$9+$CR4-1,0,1,1)+OFFSET(БД!$K:$K,CX$10+$CR4-1,0,1,1),NA())</f>
        <v>#N/A</v>
      </c>
      <c r="CD4" s="46" t="e">
        <f ca="1">IF((OFFSET(БД!$K:$K,CY$7+$CR4-1,0,1,1)+OFFSET(БД!$K:$K,CY$8+$CR4-1,0,1,1)+OFFSET(БД!$K:$K,CY$9+$CR4-1,0,1,1)+OFFSET(БД!$K:$K,CY$10+$CR4-1,0,1,1))&gt;0,OFFSET(БД!$K:$K,CY$7+$CR4-1,0,1,1)+OFFSET(БД!$K:$K,CY$8+$CR4-1,0,1,1)+OFFSET(БД!$K:$K,CY$9+$CR4-1,0,1,1)+OFFSET(БД!$K:$K,CY$10+$CR4-1,0,1,1),NA())</f>
        <v>#N/A</v>
      </c>
      <c r="CE4" s="46" t="e">
        <f ca="1">IF((OFFSET(БД!$K:$K,CZ$7+$CR4-1,0,1,1)+OFFSET(БД!$K:$K,CZ$8+$CR4-1,0,1,1)+OFFSET(БД!$K:$K,CZ$9+$CR4-1,0,1,1)+OFFSET(БД!$K:$K,CZ$10+$CR4-1,0,1,1))&gt;0,OFFSET(БД!$K:$K,CZ$7+$CR4-1,0,1,1)+OFFSET(БД!$K:$K,CZ$8+$CR4-1,0,1,1)+OFFSET(БД!$K:$K,CZ$9+$CR4-1,0,1,1)+OFFSET(БД!$K:$K,CZ$10+$CR4-1,0,1,1),NA())</f>
        <v>#N/A</v>
      </c>
      <c r="CF4" s="46" t="e">
        <f ca="1">IF((OFFSET(БД!$K:$K,DA$7+$CR4-1,0,1,1)+OFFSET(БД!$K:$K,DA$8+$CR4-1,0,1,1)+OFFSET(БД!$K:$K,DA$9+$CR4-1,0,1,1)+OFFSET(БД!$K:$K,DA$10+$CR4-1,0,1,1))&gt;0,OFFSET(БД!$K:$K,DA$7+$CR4-1,0,1,1)+OFFSET(БД!$K:$K,DA$8+$CR4-1,0,1,1)+OFFSET(БД!$K:$K,DA$9+$CR4-1,0,1,1)+OFFSET(БД!$K:$K,DA$10+$CR4-1,0,1,1),NA())</f>
        <v>#N/A</v>
      </c>
      <c r="CG4" s="46" t="e">
        <f ca="1">IF((OFFSET(БД!$K:$K,DB$7+$CR4-1,0,1,1)+OFFSET(БД!$K:$K,DB$8+$CR4-1,0,1,1)+OFFSET(БД!$K:$K,DB$9+$CR4-1,0,1,1)+OFFSET(БД!$K:$K,DB$10+$CR4-1,0,1,1))&gt;0,OFFSET(БД!$K:$K,DB$7+$CR4-1,0,1,1)+OFFSET(БД!$K:$K,DB$8+$CR4-1,0,1,1)+OFFSET(БД!$K:$K,DB$9+$CR4-1,0,1,1)+OFFSET(БД!$K:$K,DB$10+$CR4-1,0,1,1),NA())</f>
        <v>#N/A</v>
      </c>
      <c r="CH4" s="46" t="e">
        <f ca="1">IF((OFFSET(БД!$K:$K,DC$7+$CR4-1,0,1,1)+OFFSET(БД!$K:$K,DC$8+$CR4-1,0,1,1)+OFFSET(БД!$K:$K,DC$9+$CR4-1,0,1,1)+OFFSET(БД!$K:$K,DC$10+$CR4-1,0,1,1))&gt;0,OFFSET(БД!$K:$K,DC$7+$CR4-1,0,1,1)+OFFSET(БД!$K:$K,DC$8+$CR4-1,0,1,1)+OFFSET(БД!$K:$K,DC$9+$CR4-1,0,1,1)+OFFSET(БД!$K:$K,DC$10+$CR4-1,0,1,1),NA())</f>
        <v>#N/A</v>
      </c>
      <c r="CI4" s="46" t="e">
        <f ca="1">IF((OFFSET(БД!$K:$K,DD$7+$CR4-1,0,1,1)+OFFSET(БД!$K:$K,DD$8+$CR4-1,0,1,1)+OFFSET(БД!$K:$K,DD$9+$CR4-1,0,1,1)+OFFSET(БД!$K:$K,DD$10+$CR4-1,0,1,1))&gt;0,OFFSET(БД!$K:$K,DD$7+$CR4-1,0,1,1)+OFFSET(БД!$K:$K,DD$8+$CR4-1,0,1,1)+OFFSET(БД!$K:$K,DD$9+$CR4-1,0,1,1)+OFFSET(БД!$K:$K,DD$10+$CR4-1,0,1,1),NA())</f>
        <v>#N/A</v>
      </c>
      <c r="CJ4" s="47" t="e">
        <f ca="1">IF(ABS(OFFSET($BW4,,$CJ$1,1,1))&gt;=1000,ROUND(OFFSET($BW4,,$CJ$1,1,1)/1000,1)&amp;"т",OFFSET($BW4,,$CJ$1,1,1))</f>
        <v>#N/A</v>
      </c>
      <c r="CR4" s="12">
        <v>1</v>
      </c>
      <c r="CS4" s="12">
        <v>1</v>
      </c>
      <c r="CT4" s="12">
        <f>CT3+1</f>
        <v>5</v>
      </c>
      <c r="CU4" s="12">
        <f t="shared" ref="CU4:DD6" si="1">CU3+1</f>
        <v>9</v>
      </c>
      <c r="CV4" s="12">
        <f t="shared" si="1"/>
        <v>13</v>
      </c>
      <c r="CW4" s="12">
        <f t="shared" si="1"/>
        <v>17</v>
      </c>
      <c r="CX4" s="12">
        <f t="shared" si="1"/>
        <v>21</v>
      </c>
      <c r="CY4" s="12">
        <f t="shared" si="1"/>
        <v>25</v>
      </c>
      <c r="CZ4" s="12">
        <f t="shared" si="1"/>
        <v>29</v>
      </c>
      <c r="DA4" s="12">
        <f t="shared" si="1"/>
        <v>33</v>
      </c>
      <c r="DB4" s="12">
        <f t="shared" si="1"/>
        <v>37</v>
      </c>
      <c r="DC4" s="12">
        <f t="shared" si="1"/>
        <v>41</v>
      </c>
      <c r="DD4" s="12">
        <f t="shared" si="1"/>
        <v>45</v>
      </c>
    </row>
    <row r="5" spans="1:108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5" t="s">
        <v>2</v>
      </c>
      <c r="BX5" s="46" t="e">
        <f ca="1">IF((OFFSET(БД!$K:$K,CS$7+$CR5-1,0,1,1)+OFFSET(БД!$K:$K,CS$8+$CR5-1,0,1,1)+OFFSET(БД!$K:$K,CS$9+$CR5-1,0,1,1)+OFFSET(БД!$K:$K,CS$10+$CR5-1,0,1,1))&gt;0,OFFSET(БД!$K:$K,CS$7+$CR5-1,0,1,1)+OFFSET(БД!$K:$K,CS$8+$CR5-1,0,1,1)+OFFSET(БД!$K:$K,CS$9+$CR5-1,0,1,1)+OFFSET(БД!$K:$K,CS$10+$CR5-1,0,1,1),NA())</f>
        <v>#N/A</v>
      </c>
      <c r="BY5" s="46" t="e">
        <f ca="1">IF((OFFSET(БД!$K:$K,CT$7+$CR5-1,0,1,1)+OFFSET(БД!$K:$K,CT$8+$CR5-1,0,1,1)+OFFSET(БД!$K:$K,CT$9+$CR5-1,0,1,1)+OFFSET(БД!$K:$K,CT$10+$CR5-1,0,1,1))&gt;0,OFFSET(БД!$K:$K,CT$7+$CR5-1,0,1,1)+OFFSET(БД!$K:$K,CT$8+$CR5-1,0,1,1)+OFFSET(БД!$K:$K,CT$9+$CR5-1,0,1,1)+OFFSET(БД!$K:$K,CT$10+$CR5-1,0,1,1),NA())</f>
        <v>#N/A</v>
      </c>
      <c r="BZ5" s="46" t="e">
        <f ca="1">IF((OFFSET(БД!$K:$K,CU$7+$CR5-1,0,1,1)+OFFSET(БД!$K:$K,CU$8+$CR5-1,0,1,1)+OFFSET(БД!$K:$K,CU$9+$CR5-1,0,1,1)+OFFSET(БД!$K:$K,CU$10+$CR5-1,0,1,1))&gt;0,OFFSET(БД!$K:$K,CU$7+$CR5-1,0,1,1)+OFFSET(БД!$K:$K,CU$8+$CR5-1,0,1,1)+OFFSET(БД!$K:$K,CU$9+$CR5-1,0,1,1)+OFFSET(БД!$K:$K,CU$10+$CR5-1,0,1,1),NA())</f>
        <v>#N/A</v>
      </c>
      <c r="CA5" s="46" t="e">
        <f ca="1">IF((OFFSET(БД!$K:$K,CV$7+$CR5-1,0,1,1)+OFFSET(БД!$K:$K,CV$8+$CR5-1,0,1,1)+OFFSET(БД!$K:$K,CV$9+$CR5-1,0,1,1)+OFFSET(БД!$K:$K,CV$10+$CR5-1,0,1,1))&gt;0,OFFSET(БД!$K:$K,CV$7+$CR5-1,0,1,1)+OFFSET(БД!$K:$K,CV$8+$CR5-1,0,1,1)+OFFSET(БД!$K:$K,CV$9+$CR5-1,0,1,1)+OFFSET(БД!$K:$K,CV$10+$CR5-1,0,1,1),NA())</f>
        <v>#N/A</v>
      </c>
      <c r="CB5" s="46" t="e">
        <f ca="1">IF((OFFSET(БД!$K:$K,CW$7+$CR5-1,0,1,1)+OFFSET(БД!$K:$K,CW$8+$CR5-1,0,1,1)+OFFSET(БД!$K:$K,CW$9+$CR5-1,0,1,1)+OFFSET(БД!$K:$K,CW$10+$CR5-1,0,1,1))&gt;0,OFFSET(БД!$K:$K,CW$7+$CR5-1,0,1,1)+OFFSET(БД!$K:$K,CW$8+$CR5-1,0,1,1)+OFFSET(БД!$K:$K,CW$9+$CR5-1,0,1,1)+OFFSET(БД!$K:$K,CW$10+$CR5-1,0,1,1),NA())</f>
        <v>#N/A</v>
      </c>
      <c r="CC5" s="46" t="e">
        <f ca="1">IF((OFFSET(БД!$K:$K,CX$7+$CR5-1,0,1,1)+OFFSET(БД!$K:$K,CX$8+$CR5-1,0,1,1)+OFFSET(БД!$K:$K,CX$9+$CR5-1,0,1,1)+OFFSET(БД!$K:$K,CX$10+$CR5-1,0,1,1))&gt;0,OFFSET(БД!$K:$K,CX$7+$CR5-1,0,1,1)+OFFSET(БД!$K:$K,CX$8+$CR5-1,0,1,1)+OFFSET(БД!$K:$K,CX$9+$CR5-1,0,1,1)+OFFSET(БД!$K:$K,CX$10+$CR5-1,0,1,1),NA())</f>
        <v>#N/A</v>
      </c>
      <c r="CD5" s="46" t="e">
        <f ca="1">IF((OFFSET(БД!$K:$K,CY$7+$CR5-1,0,1,1)+OFFSET(БД!$K:$K,CY$8+$CR5-1,0,1,1)+OFFSET(БД!$K:$K,CY$9+$CR5-1,0,1,1)+OFFSET(БД!$K:$K,CY$10+$CR5-1,0,1,1))&gt;0,OFFSET(БД!$K:$K,CY$7+$CR5-1,0,1,1)+OFFSET(БД!$K:$K,CY$8+$CR5-1,0,1,1)+OFFSET(БД!$K:$K,CY$9+$CR5-1,0,1,1)+OFFSET(БД!$K:$K,CY$10+$CR5-1,0,1,1),NA())</f>
        <v>#N/A</v>
      </c>
      <c r="CE5" s="46" t="e">
        <f ca="1">IF((OFFSET(БД!$K:$K,CZ$7+$CR5-1,0,1,1)+OFFSET(БД!$K:$K,CZ$8+$CR5-1,0,1,1)+OFFSET(БД!$K:$K,CZ$9+$CR5-1,0,1,1)+OFFSET(БД!$K:$K,CZ$10+$CR5-1,0,1,1))&gt;0,OFFSET(БД!$K:$K,CZ$7+$CR5-1,0,1,1)+OFFSET(БД!$K:$K,CZ$8+$CR5-1,0,1,1)+OFFSET(БД!$K:$K,CZ$9+$CR5-1,0,1,1)+OFFSET(БД!$K:$K,CZ$10+$CR5-1,0,1,1),NA())</f>
        <v>#N/A</v>
      </c>
      <c r="CF5" s="46" t="e">
        <f ca="1">IF((OFFSET(БД!$K:$K,DA$7+$CR5-1,0,1,1)+OFFSET(БД!$K:$K,DA$8+$CR5-1,0,1,1)+OFFSET(БД!$K:$K,DA$9+$CR5-1,0,1,1)+OFFSET(БД!$K:$K,DA$10+$CR5-1,0,1,1))&gt;0,OFFSET(БД!$K:$K,DA$7+$CR5-1,0,1,1)+OFFSET(БД!$K:$K,DA$8+$CR5-1,0,1,1)+OFFSET(БД!$K:$K,DA$9+$CR5-1,0,1,1)+OFFSET(БД!$K:$K,DA$10+$CR5-1,0,1,1),NA())</f>
        <v>#N/A</v>
      </c>
      <c r="CG5" s="46" t="e">
        <f ca="1">IF((OFFSET(БД!$K:$K,DB$7+$CR5-1,0,1,1)+OFFSET(БД!$K:$K,DB$8+$CR5-1,0,1,1)+OFFSET(БД!$K:$K,DB$9+$CR5-1,0,1,1)+OFFSET(БД!$K:$K,DB$10+$CR5-1,0,1,1))&gt;0,OFFSET(БД!$K:$K,DB$7+$CR5-1,0,1,1)+OFFSET(БД!$K:$K,DB$8+$CR5-1,0,1,1)+OFFSET(БД!$K:$K,DB$9+$CR5-1,0,1,1)+OFFSET(БД!$K:$K,DB$10+$CR5-1,0,1,1),NA())</f>
        <v>#N/A</v>
      </c>
      <c r="CH5" s="46" t="e">
        <f ca="1">IF((OFFSET(БД!$K:$K,DC$7+$CR5-1,0,1,1)+OFFSET(БД!$K:$K,DC$8+$CR5-1,0,1,1)+OFFSET(БД!$K:$K,DC$9+$CR5-1,0,1,1)+OFFSET(БД!$K:$K,DC$10+$CR5-1,0,1,1))&gt;0,OFFSET(БД!$K:$K,DC$7+$CR5-1,0,1,1)+OFFSET(БД!$K:$K,DC$8+$CR5-1,0,1,1)+OFFSET(БД!$K:$K,DC$9+$CR5-1,0,1,1)+OFFSET(БД!$K:$K,DC$10+$CR5-1,0,1,1),NA())</f>
        <v>#N/A</v>
      </c>
      <c r="CI5" s="46" t="e">
        <f ca="1">IF((OFFSET(БД!$K:$K,DD$7+$CR5-1,0,1,1)+OFFSET(БД!$K:$K,DD$8+$CR5-1,0,1,1)+OFFSET(БД!$K:$K,DD$9+$CR5-1,0,1,1)+OFFSET(БД!$K:$K,DD$10+$CR5-1,0,1,1))&gt;0,OFFSET(БД!$K:$K,DD$7+$CR5-1,0,1,1)+OFFSET(БД!$K:$K,DD$8+$CR5-1,0,1,1)+OFFSET(БД!$K:$K,DD$9+$CR5-1,0,1,1)+OFFSET(БД!$K:$K,DD$10+$CR5-1,0,1,1),NA())</f>
        <v>#N/A</v>
      </c>
      <c r="CJ5" s="47" t="e">
        <f ca="1">IF(ABS(OFFSET($BW5,,$CJ$1,1,1))&gt;=1000,ROUND(OFFSET($BW5,,$CJ$1,1,1)/1000,1)&amp;"т",OFFSET($BW5,,$CJ$1,1,1))</f>
        <v>#N/A</v>
      </c>
      <c r="CR5" s="12">
        <v>2</v>
      </c>
      <c r="CS5" s="12">
        <v>2</v>
      </c>
      <c r="CT5" s="12">
        <f t="shared" ref="CT5:CT6" si="2">CT4+1</f>
        <v>6</v>
      </c>
      <c r="CU5" s="12">
        <f t="shared" si="1"/>
        <v>10</v>
      </c>
      <c r="CV5" s="12">
        <f t="shared" si="1"/>
        <v>14</v>
      </c>
      <c r="CW5" s="12">
        <f t="shared" si="1"/>
        <v>18</v>
      </c>
      <c r="CX5" s="12">
        <f t="shared" si="1"/>
        <v>22</v>
      </c>
      <c r="CY5" s="12">
        <f t="shared" si="1"/>
        <v>26</v>
      </c>
      <c r="CZ5" s="12">
        <f t="shared" si="1"/>
        <v>30</v>
      </c>
      <c r="DA5" s="12">
        <f t="shared" si="1"/>
        <v>34</v>
      </c>
      <c r="DB5" s="12">
        <f t="shared" si="1"/>
        <v>38</v>
      </c>
      <c r="DC5" s="12">
        <f t="shared" si="1"/>
        <v>42</v>
      </c>
      <c r="DD5" s="12">
        <f t="shared" si="1"/>
        <v>46</v>
      </c>
    </row>
    <row r="6" spans="1:108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5" t="s">
        <v>3</v>
      </c>
      <c r="BX6" s="46" t="e">
        <f ca="1">IF((OFFSET(БД!$K:$K,CS$7+$CR6-1,0,1,1)+OFFSET(БД!$K:$K,CS$8+$CR6-1,0,1,1)+OFFSET(БД!$K:$K,CS$9+$CR6-1,0,1,1)+OFFSET(БД!$K:$K,CS$10+$CR6-1,0,1,1))&gt;0,OFFSET(БД!$K:$K,CS$7+$CR6-1,0,1,1)+OFFSET(БД!$K:$K,CS$8+$CR6-1,0,1,1)+OFFSET(БД!$K:$K,CS$9+$CR6-1,0,1,1)+OFFSET(БД!$K:$K,CS$10+$CR6-1,0,1,1),NA())</f>
        <v>#N/A</v>
      </c>
      <c r="BY6" s="46" t="e">
        <f ca="1">IF((OFFSET(БД!$K:$K,CT$7+$CR6-1,0,1,1)+OFFSET(БД!$K:$K,CT$8+$CR6-1,0,1,1)+OFFSET(БД!$K:$K,CT$9+$CR6-1,0,1,1)+OFFSET(БД!$K:$K,CT$10+$CR6-1,0,1,1))&gt;0,OFFSET(БД!$K:$K,CT$7+$CR6-1,0,1,1)+OFFSET(БД!$K:$K,CT$8+$CR6-1,0,1,1)+OFFSET(БД!$K:$K,CT$9+$CR6-1,0,1,1)+OFFSET(БД!$K:$K,CT$10+$CR6-1,0,1,1),NA())</f>
        <v>#N/A</v>
      </c>
      <c r="BZ6" s="46" t="e">
        <f ca="1">IF((OFFSET(БД!$K:$K,CU$7+$CR6-1,0,1,1)+OFFSET(БД!$K:$K,CU$8+$CR6-1,0,1,1)+OFFSET(БД!$K:$K,CU$9+$CR6-1,0,1,1)+OFFSET(БД!$K:$K,CU$10+$CR6-1,0,1,1))&gt;0,OFFSET(БД!$K:$K,CU$7+$CR6-1,0,1,1)+OFFSET(БД!$K:$K,CU$8+$CR6-1,0,1,1)+OFFSET(БД!$K:$K,CU$9+$CR6-1,0,1,1)+OFFSET(БД!$K:$K,CU$10+$CR6-1,0,1,1),NA())</f>
        <v>#N/A</v>
      </c>
      <c r="CA6" s="46" t="e">
        <f ca="1">IF((OFFSET(БД!$K:$K,CV$7+$CR6-1,0,1,1)+OFFSET(БД!$K:$K,CV$8+$CR6-1,0,1,1)+OFFSET(БД!$K:$K,CV$9+$CR6-1,0,1,1)+OFFSET(БД!$K:$K,CV$10+$CR6-1,0,1,1))&gt;0,OFFSET(БД!$K:$K,CV$7+$CR6-1,0,1,1)+OFFSET(БД!$K:$K,CV$8+$CR6-1,0,1,1)+OFFSET(БД!$K:$K,CV$9+$CR6-1,0,1,1)+OFFSET(БД!$K:$K,CV$10+$CR6-1,0,1,1),NA())</f>
        <v>#N/A</v>
      </c>
      <c r="CB6" s="46" t="e">
        <f ca="1">IF((OFFSET(БД!$K:$K,CW$7+$CR6-1,0,1,1)+OFFSET(БД!$K:$K,CW$8+$CR6-1,0,1,1)+OFFSET(БД!$K:$K,CW$9+$CR6-1,0,1,1)+OFFSET(БД!$K:$K,CW$10+$CR6-1,0,1,1))&gt;0,OFFSET(БД!$K:$K,CW$7+$CR6-1,0,1,1)+OFFSET(БД!$K:$K,CW$8+$CR6-1,0,1,1)+OFFSET(БД!$K:$K,CW$9+$CR6-1,0,1,1)+OFFSET(БД!$K:$K,CW$10+$CR6-1,0,1,1),NA())</f>
        <v>#N/A</v>
      </c>
      <c r="CC6" s="46" t="e">
        <f ca="1">IF((OFFSET(БД!$K:$K,CX$7+$CR6-1,0,1,1)+OFFSET(БД!$K:$K,CX$8+$CR6-1,0,1,1)+OFFSET(БД!$K:$K,CX$9+$CR6-1,0,1,1)+OFFSET(БД!$K:$K,CX$10+$CR6-1,0,1,1))&gt;0,OFFSET(БД!$K:$K,CX$7+$CR6-1,0,1,1)+OFFSET(БД!$K:$K,CX$8+$CR6-1,0,1,1)+OFFSET(БД!$K:$K,CX$9+$CR6-1,0,1,1)+OFFSET(БД!$K:$K,CX$10+$CR6-1,0,1,1),NA())</f>
        <v>#N/A</v>
      </c>
      <c r="CD6" s="46" t="e">
        <f ca="1">IF((OFFSET(БД!$K:$K,CY$7+$CR6-1,0,1,1)+OFFSET(БД!$K:$K,CY$8+$CR6-1,0,1,1)+OFFSET(БД!$K:$K,CY$9+$CR6-1,0,1,1)+OFFSET(БД!$K:$K,CY$10+$CR6-1,0,1,1))&gt;0,OFFSET(БД!$K:$K,CY$7+$CR6-1,0,1,1)+OFFSET(БД!$K:$K,CY$8+$CR6-1,0,1,1)+OFFSET(БД!$K:$K,CY$9+$CR6-1,0,1,1)+OFFSET(БД!$K:$K,CY$10+$CR6-1,0,1,1),NA())</f>
        <v>#N/A</v>
      </c>
      <c r="CE6" s="46" t="e">
        <f ca="1">IF((OFFSET(БД!$K:$K,CZ$7+$CR6-1,0,1,1)+OFFSET(БД!$K:$K,CZ$8+$CR6-1,0,1,1)+OFFSET(БД!$K:$K,CZ$9+$CR6-1,0,1,1)+OFFSET(БД!$K:$K,CZ$10+$CR6-1,0,1,1))&gt;0,OFFSET(БД!$K:$K,CZ$7+$CR6-1,0,1,1)+OFFSET(БД!$K:$K,CZ$8+$CR6-1,0,1,1)+OFFSET(БД!$K:$K,CZ$9+$CR6-1,0,1,1)+OFFSET(БД!$K:$K,CZ$10+$CR6-1,0,1,1),NA())</f>
        <v>#N/A</v>
      </c>
      <c r="CF6" s="46" t="e">
        <f ca="1">IF((OFFSET(БД!$K:$K,DA$7+$CR6-1,0,1,1)+OFFSET(БД!$K:$K,DA$8+$CR6-1,0,1,1)+OFFSET(БД!$K:$K,DA$9+$CR6-1,0,1,1)+OFFSET(БД!$K:$K,DA$10+$CR6-1,0,1,1))&gt;0,OFFSET(БД!$K:$K,DA$7+$CR6-1,0,1,1)+OFFSET(БД!$K:$K,DA$8+$CR6-1,0,1,1)+OFFSET(БД!$K:$K,DA$9+$CR6-1,0,1,1)+OFFSET(БД!$K:$K,DA$10+$CR6-1,0,1,1),NA())</f>
        <v>#N/A</v>
      </c>
      <c r="CG6" s="46" t="e">
        <f ca="1">IF((OFFSET(БД!$K:$K,DB$7+$CR6-1,0,1,1)+OFFSET(БД!$K:$K,DB$8+$CR6-1,0,1,1)+OFFSET(БД!$K:$K,DB$9+$CR6-1,0,1,1)+OFFSET(БД!$K:$K,DB$10+$CR6-1,0,1,1))&gt;0,OFFSET(БД!$K:$K,DB$7+$CR6-1,0,1,1)+OFFSET(БД!$K:$K,DB$8+$CR6-1,0,1,1)+OFFSET(БД!$K:$K,DB$9+$CR6-1,0,1,1)+OFFSET(БД!$K:$K,DB$10+$CR6-1,0,1,1),NA())</f>
        <v>#N/A</v>
      </c>
      <c r="CH6" s="46" t="e">
        <f ca="1">IF((OFFSET(БД!$K:$K,DC$7+$CR6-1,0,1,1)+OFFSET(БД!$K:$K,DC$8+$CR6-1,0,1,1)+OFFSET(БД!$K:$K,DC$9+$CR6-1,0,1,1)+OFFSET(БД!$K:$K,DC$10+$CR6-1,0,1,1))&gt;0,OFFSET(БД!$K:$K,DC$7+$CR6-1,0,1,1)+OFFSET(БД!$K:$K,DC$8+$CR6-1,0,1,1)+OFFSET(БД!$K:$K,DC$9+$CR6-1,0,1,1)+OFFSET(БД!$K:$K,DC$10+$CR6-1,0,1,1),NA())</f>
        <v>#N/A</v>
      </c>
      <c r="CI6" s="46" t="e">
        <f ca="1">IF((OFFSET(БД!$K:$K,DD$7+$CR6-1,0,1,1)+OFFSET(БД!$K:$K,DD$8+$CR6-1,0,1,1)+OFFSET(БД!$K:$K,DD$9+$CR6-1,0,1,1)+OFFSET(БД!$K:$K,DD$10+$CR6-1,0,1,1))&gt;0,OFFSET(БД!$K:$K,DD$7+$CR6-1,0,1,1)+OFFSET(БД!$K:$K,DD$8+$CR6-1,0,1,1)+OFFSET(БД!$K:$K,DD$9+$CR6-1,0,1,1)+OFFSET(БД!$K:$K,DD$10+$CR6-1,0,1,1),NA())</f>
        <v>#N/A</v>
      </c>
      <c r="CJ6" s="47" t="e">
        <f ca="1">IF(ABS(OFFSET($BW6,,$CJ$1,1,1))&gt;=1000,ROUND(OFFSET($BW6,,$CJ$1,1,1)/1000,1)&amp;"т",OFFSET($BW6,,$CJ$1,1,1))</f>
        <v>#N/A</v>
      </c>
      <c r="CR6" s="12">
        <v>3</v>
      </c>
      <c r="CS6" s="12">
        <v>3</v>
      </c>
      <c r="CT6" s="12">
        <f t="shared" si="2"/>
        <v>7</v>
      </c>
      <c r="CU6" s="12">
        <f t="shared" si="1"/>
        <v>11</v>
      </c>
      <c r="CV6" s="12">
        <f t="shared" si="1"/>
        <v>15</v>
      </c>
      <c r="CW6" s="12">
        <f t="shared" si="1"/>
        <v>19</v>
      </c>
      <c r="CX6" s="12">
        <f t="shared" si="1"/>
        <v>23</v>
      </c>
      <c r="CY6" s="12">
        <f t="shared" si="1"/>
        <v>27</v>
      </c>
      <c r="CZ6" s="12">
        <f t="shared" si="1"/>
        <v>31</v>
      </c>
      <c r="DA6" s="12">
        <f t="shared" si="1"/>
        <v>35</v>
      </c>
      <c r="DB6" s="12">
        <f t="shared" si="1"/>
        <v>39</v>
      </c>
      <c r="DC6" s="12">
        <f t="shared" si="1"/>
        <v>43</v>
      </c>
      <c r="DD6" s="12">
        <f t="shared" si="1"/>
        <v>47</v>
      </c>
    </row>
    <row r="7" spans="1:108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5" t="s">
        <v>4</v>
      </c>
      <c r="BX7" s="48" t="e">
        <f ca="1">IF((OFFSET(БД!$K:$K,CS$7+$CR7-1,0,1,1)+OFFSET(БД!$K:$K,CS$8+$CR7-1,0,1,1)+OFFSET(БД!$K:$K,CS$9+$CR7-1,0,1,1)+OFFSET(БД!$K:$K,CS$10+$CR7-1,0,1,1))&gt;0,OFFSET(БД!$K:$K,CS$7+$CR7-1,0,1,1)+OFFSET(БД!$K:$K,CS$8+$CR7-1,0,1,1)+OFFSET(БД!$K:$K,CS$9+$CR7-1,0,1,1)+OFFSET(БД!$K:$K,CS$10+$CR7-1,0,1,1),NA())</f>
        <v>#N/A</v>
      </c>
      <c r="BY7" s="48" t="e">
        <f ca="1">IF((OFFSET(БД!$K:$K,CT$7+$CR7-1,0,1,1)+OFFSET(БД!$K:$K,CT$8+$CR7-1,0,1,1)+OFFSET(БД!$K:$K,CT$9+$CR7-1,0,1,1)+OFFSET(БД!$K:$K,CT$10+$CR7-1,0,1,1))&gt;0,OFFSET(БД!$K:$K,CT$7+$CR7-1,0,1,1)+OFFSET(БД!$K:$K,CT$8+$CR7-1,0,1,1)+OFFSET(БД!$K:$K,CT$9+$CR7-1,0,1,1)+OFFSET(БД!$K:$K,CT$10+$CR7-1,0,1,1),NA())</f>
        <v>#N/A</v>
      </c>
      <c r="BZ7" s="48" t="e">
        <f ca="1">IF((OFFSET(БД!$K:$K,CU$7+$CR7-1,0,1,1)+OFFSET(БД!$K:$K,CU$8+$CR7-1,0,1,1)+OFFSET(БД!$K:$K,CU$9+$CR7-1,0,1,1)+OFFSET(БД!$K:$K,CU$10+$CR7-1,0,1,1))&gt;0,OFFSET(БД!$K:$K,CU$7+$CR7-1,0,1,1)+OFFSET(БД!$K:$K,CU$8+$CR7-1,0,1,1)+OFFSET(БД!$K:$K,CU$9+$CR7-1,0,1,1)+OFFSET(БД!$K:$K,CU$10+$CR7-1,0,1,1),NA())</f>
        <v>#N/A</v>
      </c>
      <c r="CA7" s="48" t="e">
        <f ca="1">IF((OFFSET(БД!$K:$K,CV$7+$CR7-1,0,1,1)+OFFSET(БД!$K:$K,CV$8+$CR7-1,0,1,1)+OFFSET(БД!$K:$K,CV$9+$CR7-1,0,1,1)+OFFSET(БД!$K:$K,CV$10+$CR7-1,0,1,1))&gt;0,OFFSET(БД!$K:$K,CV$7+$CR7-1,0,1,1)+OFFSET(БД!$K:$K,CV$8+$CR7-1,0,1,1)+OFFSET(БД!$K:$K,CV$9+$CR7-1,0,1,1)+OFFSET(БД!$K:$K,CV$10+$CR7-1,0,1,1),NA())</f>
        <v>#N/A</v>
      </c>
      <c r="CB7" s="48" t="e">
        <f ca="1">IF((OFFSET(БД!$K:$K,CW$7+$CR7-1,0,1,1)+OFFSET(БД!$K:$K,CW$8+$CR7-1,0,1,1)+OFFSET(БД!$K:$K,CW$9+$CR7-1,0,1,1)+OFFSET(БД!$K:$K,CW$10+$CR7-1,0,1,1))&gt;0,OFFSET(БД!$K:$K,CW$7+$CR7-1,0,1,1)+OFFSET(БД!$K:$K,CW$8+$CR7-1,0,1,1)+OFFSET(БД!$K:$K,CW$9+$CR7-1,0,1,1)+OFFSET(БД!$K:$K,CW$10+$CR7-1,0,1,1),NA())</f>
        <v>#N/A</v>
      </c>
      <c r="CC7" s="48" t="e">
        <f ca="1">IF((OFFSET(БД!$K:$K,CX$7+$CR7-1,0,1,1)+OFFSET(БД!$K:$K,CX$8+$CR7-1,0,1,1)+OFFSET(БД!$K:$K,CX$9+$CR7-1,0,1,1)+OFFSET(БД!$K:$K,CX$10+$CR7-1,0,1,1))&gt;0,OFFSET(БД!$K:$K,CX$7+$CR7-1,0,1,1)+OFFSET(БД!$K:$K,CX$8+$CR7-1,0,1,1)+OFFSET(БД!$K:$K,CX$9+$CR7-1,0,1,1)+OFFSET(БД!$K:$K,CX$10+$CR7-1,0,1,1),NA())</f>
        <v>#N/A</v>
      </c>
      <c r="CD7" s="48" t="e">
        <f ca="1">IF((OFFSET(БД!$K:$K,CY$7+$CR7-1,0,1,1)+OFFSET(БД!$K:$K,CY$8+$CR7-1,0,1,1)+OFFSET(БД!$K:$K,CY$9+$CR7-1,0,1,1)+OFFSET(БД!$K:$K,CY$10+$CR7-1,0,1,1))&gt;0,OFFSET(БД!$K:$K,CY$7+$CR7-1,0,1,1)+OFFSET(БД!$K:$K,CY$8+$CR7-1,0,1,1)+OFFSET(БД!$K:$K,CY$9+$CR7-1,0,1,1)+OFFSET(БД!$K:$K,CY$10+$CR7-1,0,1,1),NA())</f>
        <v>#N/A</v>
      </c>
      <c r="CE7" s="48" t="e">
        <f ca="1">IF((OFFSET(БД!$K:$K,CZ$7+$CR7-1,0,1,1)+OFFSET(БД!$K:$K,CZ$8+$CR7-1,0,1,1)+OFFSET(БД!$K:$K,CZ$9+$CR7-1,0,1,1)+OFFSET(БД!$K:$K,CZ$10+$CR7-1,0,1,1))&gt;0,OFFSET(БД!$K:$K,CZ$7+$CR7-1,0,1,1)+OFFSET(БД!$K:$K,CZ$8+$CR7-1,0,1,1)+OFFSET(БД!$K:$K,CZ$9+$CR7-1,0,1,1)+OFFSET(БД!$K:$K,CZ$10+$CR7-1,0,1,1),NA())</f>
        <v>#N/A</v>
      </c>
      <c r="CF7" s="48" t="e">
        <f ca="1">IF((OFFSET(БД!$K:$K,DA$7+$CR7-1,0,1,1)+OFFSET(БД!$K:$K,DA$8+$CR7-1,0,1,1)+OFFSET(БД!$K:$K,DA$9+$CR7-1,0,1,1)+OFFSET(БД!$K:$K,DA$10+$CR7-1,0,1,1))&gt;0,OFFSET(БД!$K:$K,DA$7+$CR7-1,0,1,1)+OFFSET(БД!$K:$K,DA$8+$CR7-1,0,1,1)+OFFSET(БД!$K:$K,DA$9+$CR7-1,0,1,1)+OFFSET(БД!$K:$K,DA$10+$CR7-1,0,1,1),NA())</f>
        <v>#N/A</v>
      </c>
      <c r="CG7" s="48" t="e">
        <f ca="1">IF((OFFSET(БД!$K:$K,DB$7+$CR7-1,0,1,1)+OFFSET(БД!$K:$K,DB$8+$CR7-1,0,1,1)+OFFSET(БД!$K:$K,DB$9+$CR7-1,0,1,1)+OFFSET(БД!$K:$K,DB$10+$CR7-1,0,1,1))&gt;0,OFFSET(БД!$K:$K,DB$7+$CR7-1,0,1,1)+OFFSET(БД!$K:$K,DB$8+$CR7-1,0,1,1)+OFFSET(БД!$K:$K,DB$9+$CR7-1,0,1,1)+OFFSET(БД!$K:$K,DB$10+$CR7-1,0,1,1),NA())</f>
        <v>#N/A</v>
      </c>
      <c r="CH7" s="48" t="e">
        <f ca="1">IF((OFFSET(БД!$K:$K,DC$7+$CR7-1,0,1,1)+OFFSET(БД!$K:$K,DC$8+$CR7-1,0,1,1)+OFFSET(БД!$K:$K,DC$9+$CR7-1,0,1,1)+OFFSET(БД!$K:$K,DC$10+$CR7-1,0,1,1))&gt;0,OFFSET(БД!$K:$K,DC$7+$CR7-1,0,1,1)+OFFSET(БД!$K:$K,DC$8+$CR7-1,0,1,1)+OFFSET(БД!$K:$K,DC$9+$CR7-1,0,1,1)+OFFSET(БД!$K:$K,DC$10+$CR7-1,0,1,1),NA())</f>
        <v>#N/A</v>
      </c>
      <c r="CI7" s="48" t="e">
        <f ca="1">IF((OFFSET(БД!$K:$K,DD$7+$CR7-1,0,1,1)+OFFSET(БД!$K:$K,DD$8+$CR7-1,0,1,1)+OFFSET(БД!$K:$K,DD$9+$CR7-1,0,1,1)+OFFSET(БД!$K:$K,DD$10+$CR7-1,0,1,1))&gt;0,OFFSET(БД!$K:$K,DD$7+$CR7-1,0,1,1)+OFFSET(БД!$K:$K,DD$8+$CR7-1,0,1,1)+OFFSET(БД!$K:$K,DD$9+$CR7-1,0,1,1)+OFFSET(БД!$K:$K,DD$10+$CR7-1,0,1,1),NA())</f>
        <v>#N/A</v>
      </c>
      <c r="CJ7" s="49" t="e">
        <f ca="1">IF(ABS(OFFSET($BW7,,$CJ$1,1,1))&gt;=1000,ROUND(OFFSET($BW7,,$CJ$1,1,1)/1000,1)&amp;" т. р.",OFFSET($BW7,,$CJ$1,1,1))</f>
        <v>#N/A</v>
      </c>
      <c r="CR7" s="12">
        <v>4</v>
      </c>
      <c r="CS7" s="12">
        <f>2+17*CS3+1</f>
        <v>3</v>
      </c>
      <c r="CT7" s="12">
        <f t="shared" ref="CT7:DD7" si="3">2+17*CT3+1</f>
        <v>71</v>
      </c>
      <c r="CU7" s="12">
        <f t="shared" si="3"/>
        <v>139</v>
      </c>
      <c r="CV7" s="12">
        <f t="shared" si="3"/>
        <v>207</v>
      </c>
      <c r="CW7" s="12">
        <f t="shared" si="3"/>
        <v>275</v>
      </c>
      <c r="CX7" s="12">
        <f t="shared" si="3"/>
        <v>343</v>
      </c>
      <c r="CY7" s="12">
        <f t="shared" si="3"/>
        <v>411</v>
      </c>
      <c r="CZ7" s="12">
        <f t="shared" si="3"/>
        <v>479</v>
      </c>
      <c r="DA7" s="12">
        <f t="shared" si="3"/>
        <v>547</v>
      </c>
      <c r="DB7" s="12">
        <f t="shared" si="3"/>
        <v>615</v>
      </c>
      <c r="DC7" s="12">
        <f t="shared" si="3"/>
        <v>683</v>
      </c>
      <c r="DD7" s="12">
        <f t="shared" si="3"/>
        <v>751</v>
      </c>
    </row>
    <row r="8" spans="1:108" ht="29.25" customHeight="1" x14ac:dyDescent="0.2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5" t="s">
        <v>133</v>
      </c>
      <c r="BX8" s="48" t="e">
        <f ca="1">IF((OFFSET(БД!$K:$K,CS$7+$CR8-1,0,1,1)+OFFSET(БД!$K:$K,CS$8+$CR8-1,0,1,1)+OFFSET(БД!$K:$K,CS$9+$CR8-1,0,1,1)+OFFSET(БД!$K:$K,CS$10+$CR8-1,0,1,1))&gt;0,OFFSET(БД!$K:$K,CS$7+$CR8-1,0,1,1)+OFFSET(БД!$K:$K,CS$8+$CR8-1,0,1,1)+OFFSET(БД!$K:$K,CS$9+$CR8-1,0,1,1)+OFFSET(БД!$K:$K,CS$10+$CR8-1,0,1,1),NA())</f>
        <v>#N/A</v>
      </c>
      <c r="BY8" s="48" t="e">
        <f ca="1">IF((OFFSET(БД!$K:$K,CT$7+$CR8-1,0,1,1)+OFFSET(БД!$K:$K,CT$8+$CR8-1,0,1,1)+OFFSET(БД!$K:$K,CT$9+$CR8-1,0,1,1)+OFFSET(БД!$K:$K,CT$10+$CR8-1,0,1,1))&gt;0,OFFSET(БД!$K:$K,CT$7+$CR8-1,0,1,1)+OFFSET(БД!$K:$K,CT$8+$CR8-1,0,1,1)+OFFSET(БД!$K:$K,CT$9+$CR8-1,0,1,1)+OFFSET(БД!$K:$K,CT$10+$CR8-1,0,1,1),NA())</f>
        <v>#N/A</v>
      </c>
      <c r="BZ8" s="48" t="e">
        <f ca="1">IF((OFFSET(БД!$K:$K,CU$7+$CR8-1,0,1,1)+OFFSET(БД!$K:$K,CU$8+$CR8-1,0,1,1)+OFFSET(БД!$K:$K,CU$9+$CR8-1,0,1,1)+OFFSET(БД!$K:$K,CU$10+$CR8-1,0,1,1))&gt;0,OFFSET(БД!$K:$K,CU$7+$CR8-1,0,1,1)+OFFSET(БД!$K:$K,CU$8+$CR8-1,0,1,1)+OFFSET(БД!$K:$K,CU$9+$CR8-1,0,1,1)+OFFSET(БД!$K:$K,CU$10+$CR8-1,0,1,1),NA())</f>
        <v>#N/A</v>
      </c>
      <c r="CA8" s="48" t="e">
        <f ca="1">IF((OFFSET(БД!$K:$K,CV$7+$CR8-1,0,1,1)+OFFSET(БД!$K:$K,CV$8+$CR8-1,0,1,1)+OFFSET(БД!$K:$K,CV$9+$CR8-1,0,1,1)+OFFSET(БД!$K:$K,CV$10+$CR8-1,0,1,1))&gt;0,OFFSET(БД!$K:$K,CV$7+$CR8-1,0,1,1)+OFFSET(БД!$K:$K,CV$8+$CR8-1,0,1,1)+OFFSET(БД!$K:$K,CV$9+$CR8-1,0,1,1)+OFFSET(БД!$K:$K,CV$10+$CR8-1,0,1,1),NA())</f>
        <v>#N/A</v>
      </c>
      <c r="CB8" s="48" t="e">
        <f ca="1">IF((OFFSET(БД!$K:$K,CW$7+$CR8-1,0,1,1)+OFFSET(БД!$K:$K,CW$8+$CR8-1,0,1,1)+OFFSET(БД!$K:$K,CW$9+$CR8-1,0,1,1)+OFFSET(БД!$K:$K,CW$10+$CR8-1,0,1,1))&gt;0,OFFSET(БД!$K:$K,CW$7+$CR8-1,0,1,1)+OFFSET(БД!$K:$K,CW$8+$CR8-1,0,1,1)+OFFSET(БД!$K:$K,CW$9+$CR8-1,0,1,1)+OFFSET(БД!$K:$K,CW$10+$CR8-1,0,1,1),NA())</f>
        <v>#N/A</v>
      </c>
      <c r="CC8" s="48" t="e">
        <f ca="1">IF((OFFSET(БД!$K:$K,CX$7+$CR8-1,0,1,1)+OFFSET(БД!$K:$K,CX$8+$CR8-1,0,1,1)+OFFSET(БД!$K:$K,CX$9+$CR8-1,0,1,1)+OFFSET(БД!$K:$K,CX$10+$CR8-1,0,1,1))&gt;0,OFFSET(БД!$K:$K,CX$7+$CR8-1,0,1,1)+OFFSET(БД!$K:$K,CX$8+$CR8-1,0,1,1)+OFFSET(БД!$K:$K,CX$9+$CR8-1,0,1,1)+OFFSET(БД!$K:$K,CX$10+$CR8-1,0,1,1),NA())</f>
        <v>#N/A</v>
      </c>
      <c r="CD8" s="48" t="e">
        <f ca="1">IF((OFFSET(БД!$K:$K,CY$7+$CR8-1,0,1,1)+OFFSET(БД!$K:$K,CY$8+$CR8-1,0,1,1)+OFFSET(БД!$K:$K,CY$9+$CR8-1,0,1,1)+OFFSET(БД!$K:$K,CY$10+$CR8-1,0,1,1))&gt;0,OFFSET(БД!$K:$K,CY$7+$CR8-1,0,1,1)+OFFSET(БД!$K:$K,CY$8+$CR8-1,0,1,1)+OFFSET(БД!$K:$K,CY$9+$CR8-1,0,1,1)+OFFSET(БД!$K:$K,CY$10+$CR8-1,0,1,1),NA())</f>
        <v>#N/A</v>
      </c>
      <c r="CE8" s="48" t="e">
        <f ca="1">IF((OFFSET(БД!$K:$K,CZ$7+$CR8-1,0,1,1)+OFFSET(БД!$K:$K,CZ$8+$CR8-1,0,1,1)+OFFSET(БД!$K:$K,CZ$9+$CR8-1,0,1,1)+OFFSET(БД!$K:$K,CZ$10+$CR8-1,0,1,1))&gt;0,OFFSET(БД!$K:$K,CZ$7+$CR8-1,0,1,1)+OFFSET(БД!$K:$K,CZ$8+$CR8-1,0,1,1)+OFFSET(БД!$K:$K,CZ$9+$CR8-1,0,1,1)+OFFSET(БД!$K:$K,CZ$10+$CR8-1,0,1,1),NA())</f>
        <v>#N/A</v>
      </c>
      <c r="CF8" s="48" t="e">
        <f ca="1">IF((OFFSET(БД!$K:$K,DA$7+$CR8-1,0,1,1)+OFFSET(БД!$K:$K,DA$8+$CR8-1,0,1,1)+OFFSET(БД!$K:$K,DA$9+$CR8-1,0,1,1)+OFFSET(БД!$K:$K,DA$10+$CR8-1,0,1,1))&gt;0,OFFSET(БД!$K:$K,DA$7+$CR8-1,0,1,1)+OFFSET(БД!$K:$K,DA$8+$CR8-1,0,1,1)+OFFSET(БД!$K:$K,DA$9+$CR8-1,0,1,1)+OFFSET(БД!$K:$K,DA$10+$CR8-1,0,1,1),NA())</f>
        <v>#N/A</v>
      </c>
      <c r="CG8" s="48" t="e">
        <f ca="1">IF((OFFSET(БД!$K:$K,DB$7+$CR8-1,0,1,1)+OFFSET(БД!$K:$K,DB$8+$CR8-1,0,1,1)+OFFSET(БД!$K:$K,DB$9+$CR8-1,0,1,1)+OFFSET(БД!$K:$K,DB$10+$CR8-1,0,1,1))&gt;0,OFFSET(БД!$K:$K,DB$7+$CR8-1,0,1,1)+OFFSET(БД!$K:$K,DB$8+$CR8-1,0,1,1)+OFFSET(БД!$K:$K,DB$9+$CR8-1,0,1,1)+OFFSET(БД!$K:$K,DB$10+$CR8-1,0,1,1),NA())</f>
        <v>#N/A</v>
      </c>
      <c r="CH8" s="48" t="e">
        <f ca="1">IF((OFFSET(БД!$K:$K,DC$7+$CR8-1,0,1,1)+OFFSET(БД!$K:$K,DC$8+$CR8-1,0,1,1)+OFFSET(БД!$K:$K,DC$9+$CR8-1,0,1,1)+OFFSET(БД!$K:$K,DC$10+$CR8-1,0,1,1))&gt;0,OFFSET(БД!$K:$K,DC$7+$CR8-1,0,1,1)+OFFSET(БД!$K:$K,DC$8+$CR8-1,0,1,1)+OFFSET(БД!$K:$K,DC$9+$CR8-1,0,1,1)+OFFSET(БД!$K:$K,DC$10+$CR8-1,0,1,1),NA())</f>
        <v>#N/A</v>
      </c>
      <c r="CI8" s="48" t="e">
        <f ca="1">IF((OFFSET(БД!$K:$K,DD$7+$CR8-1,0,1,1)+OFFSET(БД!$K:$K,DD$8+$CR8-1,0,1,1)+OFFSET(БД!$K:$K,DD$9+$CR8-1,0,1,1)+OFFSET(БД!$K:$K,DD$10+$CR8-1,0,1,1))&gt;0,OFFSET(БД!$K:$K,DD$7+$CR8-1,0,1,1)+OFFSET(БД!$K:$K,DD$8+$CR8-1,0,1,1)+OFFSET(БД!$K:$K,DD$9+$CR8-1,0,1,1)+OFFSET(БД!$K:$K,DD$10+$CR8-1,0,1,1),NA())</f>
        <v>#N/A</v>
      </c>
      <c r="CJ8" s="49" t="e">
        <f ca="1">IF(ABS(OFFSET($BW8,,$CJ$1,1,1))&gt;=1000,ROUND(OFFSET($BW8,,$CJ$1,1,1)/1000,1)&amp;" т. р.",OFFSET($BW8,,$CJ$1,1,1))</f>
        <v>#N/A</v>
      </c>
      <c r="CR8" s="12">
        <v>5</v>
      </c>
      <c r="CS8" s="12">
        <f t="shared" ref="CS8:DD10" si="4">2+17*CS4+1</f>
        <v>20</v>
      </c>
      <c r="CT8" s="12">
        <f t="shared" si="4"/>
        <v>88</v>
      </c>
      <c r="CU8" s="12">
        <f t="shared" si="4"/>
        <v>156</v>
      </c>
      <c r="CV8" s="12">
        <f t="shared" si="4"/>
        <v>224</v>
      </c>
      <c r="CW8" s="12">
        <f t="shared" si="4"/>
        <v>292</v>
      </c>
      <c r="CX8" s="12">
        <f t="shared" si="4"/>
        <v>360</v>
      </c>
      <c r="CY8" s="12">
        <f t="shared" si="4"/>
        <v>428</v>
      </c>
      <c r="CZ8" s="12">
        <f t="shared" si="4"/>
        <v>496</v>
      </c>
      <c r="DA8" s="12">
        <f t="shared" si="4"/>
        <v>564</v>
      </c>
      <c r="DB8" s="12">
        <f t="shared" si="4"/>
        <v>632</v>
      </c>
      <c r="DC8" s="12">
        <f t="shared" si="4"/>
        <v>700</v>
      </c>
      <c r="DD8" s="12">
        <f t="shared" si="4"/>
        <v>768</v>
      </c>
    </row>
    <row r="9" spans="1:108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5" t="s">
        <v>134</v>
      </c>
      <c r="BX9" s="48" t="e">
        <f ca="1">IF(SUM(OFFSET(БД!$N:$N,,BX$1))&gt;0,SUM(OFFSET(БД!$N:$N,,BX$1)),NA())</f>
        <v>#N/A</v>
      </c>
      <c r="BY9" s="48" t="e">
        <f ca="1">IF(SUM(OFFSET(БД!$N:$N,,BY$1))&gt;0,SUM(OFFSET(БД!$N:$N,,BY$1)),NA())</f>
        <v>#N/A</v>
      </c>
      <c r="BZ9" s="48" t="e">
        <f ca="1">IF(SUM(OFFSET(БД!$N:$N,,BZ$1))&gt;0,SUM(OFFSET(БД!$N:$N,,BZ$1)),NA())</f>
        <v>#N/A</v>
      </c>
      <c r="CA9" s="48" t="e">
        <f ca="1">IF(SUM(OFFSET(БД!$N:$N,,CA$1))&gt;0,SUM(OFFSET(БД!$N:$N,,CA$1)),NA())</f>
        <v>#N/A</v>
      </c>
      <c r="CB9" s="48" t="e">
        <f ca="1">IF(SUM(OFFSET(БД!$N:$N,,CB$1))&gt;0,SUM(OFFSET(БД!$N:$N,,CB$1)),NA())</f>
        <v>#N/A</v>
      </c>
      <c r="CC9" s="48" t="e">
        <f ca="1">IF(SUM(OFFSET(БД!$N:$N,,CC$1))&gt;0,SUM(OFFSET(БД!$N:$N,,CC$1)),NA())</f>
        <v>#N/A</v>
      </c>
      <c r="CD9" s="48" t="e">
        <f ca="1">IF(SUM(OFFSET(БД!$N:$N,,CD$1))&gt;0,SUM(OFFSET(БД!$N:$N,,CD$1)),NA())</f>
        <v>#N/A</v>
      </c>
      <c r="CE9" s="48" t="e">
        <f ca="1">IF(SUM(OFFSET(БД!$N:$N,,CE$1))&gt;0,SUM(OFFSET(БД!$N:$N,,CE$1)),NA())</f>
        <v>#N/A</v>
      </c>
      <c r="CF9" s="48" t="e">
        <f ca="1">IF(SUM(OFFSET(БД!$N:$N,,CF$1))&gt;0,SUM(OFFSET(БД!$N:$N,,CF$1)),NA())</f>
        <v>#N/A</v>
      </c>
      <c r="CG9" s="48" t="e">
        <f ca="1">IF(SUM(OFFSET(БД!$N:$N,,CG$1))&gt;0,SUM(OFFSET(БД!$N:$N,,CG$1)),NA())</f>
        <v>#N/A</v>
      </c>
      <c r="CH9" s="48" t="e">
        <f ca="1">IF(SUM(OFFSET(БД!$N:$N,,CH$1))&gt;0,SUM(OFFSET(БД!$N:$N,,CH$1)),NA())</f>
        <v>#N/A</v>
      </c>
      <c r="CI9" s="48" t="e">
        <f ca="1">IF(SUM(OFFSET(БД!$N:$N,,CI$1))&gt;0,SUM(OFFSET(БД!$N:$N,,CI$1)),NA())</f>
        <v>#N/A</v>
      </c>
      <c r="CJ9" s="49" t="e">
        <f ca="1">IF(ABS(OFFSET($BW9,,$CJ$1,1,1))&gt;=1000,ROUND(OFFSET($BW9,,$CJ$1,1,1)/1000,1)&amp;" т. р.",OFFSET($BW9,,$CJ$1,1,1))</f>
        <v>#N/A</v>
      </c>
      <c r="CS9" s="12">
        <f t="shared" si="4"/>
        <v>37</v>
      </c>
      <c r="CT9" s="12">
        <f t="shared" si="4"/>
        <v>105</v>
      </c>
      <c r="CU9" s="12">
        <f t="shared" si="4"/>
        <v>173</v>
      </c>
      <c r="CV9" s="12">
        <f t="shared" si="4"/>
        <v>241</v>
      </c>
      <c r="CW9" s="12">
        <f t="shared" si="4"/>
        <v>309</v>
      </c>
      <c r="CX9" s="12">
        <f t="shared" si="4"/>
        <v>377</v>
      </c>
      <c r="CY9" s="12">
        <f t="shared" si="4"/>
        <v>445</v>
      </c>
      <c r="CZ9" s="12">
        <f t="shared" si="4"/>
        <v>513</v>
      </c>
      <c r="DA9" s="12">
        <f t="shared" si="4"/>
        <v>581</v>
      </c>
      <c r="DB9" s="12">
        <f t="shared" si="4"/>
        <v>649</v>
      </c>
      <c r="DC9" s="12">
        <f t="shared" si="4"/>
        <v>717</v>
      </c>
      <c r="DD9" s="12">
        <f t="shared" si="4"/>
        <v>785</v>
      </c>
    </row>
    <row r="10" spans="1:108" x14ac:dyDescent="0.2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50" t="s">
        <v>15</v>
      </c>
      <c r="BX10" s="51" t="e">
        <f ca="1">IF(BX3&gt;0,BX4/BX3,NA())</f>
        <v>#N/A</v>
      </c>
      <c r="BY10" s="51" t="e">
        <f t="shared" ref="BY10:CI10" ca="1" si="5">IF(BY3&gt;0,BY4/BY3,NA())</f>
        <v>#N/A</v>
      </c>
      <c r="BZ10" s="51" t="e">
        <f t="shared" ca="1" si="5"/>
        <v>#N/A</v>
      </c>
      <c r="CA10" s="51" t="e">
        <f t="shared" ca="1" si="5"/>
        <v>#N/A</v>
      </c>
      <c r="CB10" s="51" t="e">
        <f t="shared" ca="1" si="5"/>
        <v>#N/A</v>
      </c>
      <c r="CC10" s="51" t="e">
        <f t="shared" ca="1" si="5"/>
        <v>#N/A</v>
      </c>
      <c r="CD10" s="51" t="e">
        <f t="shared" ca="1" si="5"/>
        <v>#N/A</v>
      </c>
      <c r="CE10" s="51" t="e">
        <f t="shared" ca="1" si="5"/>
        <v>#N/A</v>
      </c>
      <c r="CF10" s="51" t="e">
        <f t="shared" ca="1" si="5"/>
        <v>#N/A</v>
      </c>
      <c r="CG10" s="51" t="e">
        <f t="shared" ca="1" si="5"/>
        <v>#N/A</v>
      </c>
      <c r="CH10" s="51" t="e">
        <f t="shared" ca="1" si="5"/>
        <v>#N/A</v>
      </c>
      <c r="CI10" s="51" t="e">
        <f t="shared" ca="1" si="5"/>
        <v>#N/A</v>
      </c>
      <c r="CJ10" s="52" t="e">
        <f ca="1">OFFSET($BW10,,$CJ$1,1,1)</f>
        <v>#N/A</v>
      </c>
      <c r="CS10" s="12">
        <f t="shared" si="4"/>
        <v>54</v>
      </c>
      <c r="CT10" s="12">
        <f t="shared" si="4"/>
        <v>122</v>
      </c>
      <c r="CU10" s="12">
        <f t="shared" si="4"/>
        <v>190</v>
      </c>
      <c r="CV10" s="12">
        <f t="shared" si="4"/>
        <v>258</v>
      </c>
      <c r="CW10" s="12">
        <f t="shared" si="4"/>
        <v>326</v>
      </c>
      <c r="CX10" s="12">
        <f t="shared" si="4"/>
        <v>394</v>
      </c>
      <c r="CY10" s="12">
        <f t="shared" si="4"/>
        <v>462</v>
      </c>
      <c r="CZ10" s="12">
        <f t="shared" si="4"/>
        <v>530</v>
      </c>
      <c r="DA10" s="12">
        <f t="shared" si="4"/>
        <v>598</v>
      </c>
      <c r="DB10" s="12">
        <f t="shared" si="4"/>
        <v>666</v>
      </c>
      <c r="DC10" s="12">
        <f t="shared" si="4"/>
        <v>734</v>
      </c>
      <c r="DD10" s="12">
        <f t="shared" si="4"/>
        <v>802</v>
      </c>
    </row>
    <row r="11" spans="1:108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50" t="s">
        <v>16</v>
      </c>
      <c r="BX11" s="51" t="e">
        <f ca="1">IF(BX4&gt;0,BX5/BX4,NA())</f>
        <v>#N/A</v>
      </c>
      <c r="BY11" s="51" t="e">
        <f t="shared" ref="BY11:CI11" ca="1" si="6">IF(BY4&gt;0,BY5/BY4,NA())</f>
        <v>#N/A</v>
      </c>
      <c r="BZ11" s="51" t="e">
        <f t="shared" ca="1" si="6"/>
        <v>#N/A</v>
      </c>
      <c r="CA11" s="51" t="e">
        <f t="shared" ca="1" si="6"/>
        <v>#N/A</v>
      </c>
      <c r="CB11" s="51" t="e">
        <f t="shared" ca="1" si="6"/>
        <v>#N/A</v>
      </c>
      <c r="CC11" s="51" t="e">
        <f t="shared" ca="1" si="6"/>
        <v>#N/A</v>
      </c>
      <c r="CD11" s="51" t="e">
        <f t="shared" ca="1" si="6"/>
        <v>#N/A</v>
      </c>
      <c r="CE11" s="51" t="e">
        <f t="shared" ca="1" si="6"/>
        <v>#N/A</v>
      </c>
      <c r="CF11" s="51" t="e">
        <f t="shared" ca="1" si="6"/>
        <v>#N/A</v>
      </c>
      <c r="CG11" s="51" t="e">
        <f t="shared" ca="1" si="6"/>
        <v>#N/A</v>
      </c>
      <c r="CH11" s="51" t="e">
        <f t="shared" ca="1" si="6"/>
        <v>#N/A</v>
      </c>
      <c r="CI11" s="51" t="e">
        <f t="shared" ca="1" si="6"/>
        <v>#N/A</v>
      </c>
      <c r="CJ11" s="52" t="e">
        <f ca="1">OFFSET($BW11,,$CJ$1,1,1)</f>
        <v>#N/A</v>
      </c>
    </row>
    <row r="12" spans="1:108" x14ac:dyDescent="0.25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50" t="s">
        <v>17</v>
      </c>
      <c r="BX12" s="51" t="e">
        <f ca="1">IF(BX5&gt;0,BX6/BX5,NA())</f>
        <v>#N/A</v>
      </c>
      <c r="BY12" s="51" t="e">
        <f t="shared" ref="BY12:CI12" ca="1" si="7">IF(BY5&gt;0,BY6/BY5,NA())</f>
        <v>#N/A</v>
      </c>
      <c r="BZ12" s="51" t="e">
        <f t="shared" ca="1" si="7"/>
        <v>#N/A</v>
      </c>
      <c r="CA12" s="51" t="e">
        <f t="shared" ca="1" si="7"/>
        <v>#N/A</v>
      </c>
      <c r="CB12" s="51" t="e">
        <f t="shared" ca="1" si="7"/>
        <v>#N/A</v>
      </c>
      <c r="CC12" s="51" t="e">
        <f t="shared" ca="1" si="7"/>
        <v>#N/A</v>
      </c>
      <c r="CD12" s="51" t="e">
        <f t="shared" ca="1" si="7"/>
        <v>#N/A</v>
      </c>
      <c r="CE12" s="51" t="e">
        <f t="shared" ca="1" si="7"/>
        <v>#N/A</v>
      </c>
      <c r="CF12" s="51" t="e">
        <f t="shared" ca="1" si="7"/>
        <v>#N/A</v>
      </c>
      <c r="CG12" s="51" t="e">
        <f t="shared" ca="1" si="7"/>
        <v>#N/A</v>
      </c>
      <c r="CH12" s="51" t="e">
        <f t="shared" ca="1" si="7"/>
        <v>#N/A</v>
      </c>
      <c r="CI12" s="51" t="e">
        <f t="shared" ca="1" si="7"/>
        <v>#N/A</v>
      </c>
      <c r="CJ12" s="52" t="e">
        <f ca="1">OFFSET($BW12,,$CJ$1,1,1)</f>
        <v>#N/A</v>
      </c>
    </row>
    <row r="13" spans="1:108" ht="57" customHeight="1" x14ac:dyDescent="0.25">
      <c r="B13" s="41"/>
      <c r="C13" s="41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8"/>
      <c r="BA13" s="38"/>
      <c r="BB13" s="38"/>
      <c r="BC13" s="38"/>
      <c r="BD13" s="38"/>
      <c r="BE13" s="38"/>
      <c r="BF13" s="38"/>
      <c r="BG13" s="38"/>
      <c r="BH13" s="38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50" t="s">
        <v>18</v>
      </c>
      <c r="BX13" s="53" t="e">
        <f t="shared" ref="BX13:CI13" ca="1" si="8">IF(BX3&gt;0,BX8/BX3,NA())</f>
        <v>#N/A</v>
      </c>
      <c r="BY13" s="53" t="e">
        <f t="shared" ca="1" si="8"/>
        <v>#N/A</v>
      </c>
      <c r="BZ13" s="53" t="e">
        <f t="shared" ca="1" si="8"/>
        <v>#N/A</v>
      </c>
      <c r="CA13" s="53" t="e">
        <f t="shared" ca="1" si="8"/>
        <v>#N/A</v>
      </c>
      <c r="CB13" s="53" t="e">
        <f t="shared" ca="1" si="8"/>
        <v>#N/A</v>
      </c>
      <c r="CC13" s="53" t="e">
        <f t="shared" ca="1" si="8"/>
        <v>#N/A</v>
      </c>
      <c r="CD13" s="53" t="e">
        <f t="shared" ca="1" si="8"/>
        <v>#N/A</v>
      </c>
      <c r="CE13" s="53" t="e">
        <f t="shared" ca="1" si="8"/>
        <v>#N/A</v>
      </c>
      <c r="CF13" s="53" t="e">
        <f t="shared" ca="1" si="8"/>
        <v>#N/A</v>
      </c>
      <c r="CG13" s="53" t="e">
        <f t="shared" ca="1" si="8"/>
        <v>#N/A</v>
      </c>
      <c r="CH13" s="53" t="e">
        <f t="shared" ca="1" si="8"/>
        <v>#N/A</v>
      </c>
      <c r="CI13" s="53" t="e">
        <f t="shared" ca="1" si="8"/>
        <v>#N/A</v>
      </c>
      <c r="CJ13" s="49" t="e">
        <f ca="1">IF(ABS(OFFSET($BW13,,$CJ$1,1,1))&gt;=1000,ROUND(OFFSET($BW13,,$CJ$1,1,1)/1000,1)&amp;" т. р.",OFFSET($BW13,,$CJ$1,1,1))</f>
        <v>#N/A</v>
      </c>
    </row>
    <row r="14" spans="1:108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50" t="s">
        <v>19</v>
      </c>
      <c r="BX14" s="53" t="e">
        <f t="shared" ref="BX14:CI14" ca="1" si="9">IF(BX4&gt;0,BX8/BX4,NA())</f>
        <v>#N/A</v>
      </c>
      <c r="BY14" s="53" t="e">
        <f t="shared" ca="1" si="9"/>
        <v>#N/A</v>
      </c>
      <c r="BZ14" s="53" t="e">
        <f t="shared" ca="1" si="9"/>
        <v>#N/A</v>
      </c>
      <c r="CA14" s="53" t="e">
        <f t="shared" ca="1" si="9"/>
        <v>#N/A</v>
      </c>
      <c r="CB14" s="53" t="e">
        <f t="shared" ca="1" si="9"/>
        <v>#N/A</v>
      </c>
      <c r="CC14" s="53" t="e">
        <f t="shared" ca="1" si="9"/>
        <v>#N/A</v>
      </c>
      <c r="CD14" s="53" t="e">
        <f t="shared" ca="1" si="9"/>
        <v>#N/A</v>
      </c>
      <c r="CE14" s="53" t="e">
        <f t="shared" ca="1" si="9"/>
        <v>#N/A</v>
      </c>
      <c r="CF14" s="53" t="e">
        <f t="shared" ca="1" si="9"/>
        <v>#N/A</v>
      </c>
      <c r="CG14" s="53" t="e">
        <f t="shared" ca="1" si="9"/>
        <v>#N/A</v>
      </c>
      <c r="CH14" s="53" t="e">
        <f t="shared" ca="1" si="9"/>
        <v>#N/A</v>
      </c>
      <c r="CI14" s="53" t="e">
        <f t="shared" ca="1" si="9"/>
        <v>#N/A</v>
      </c>
      <c r="CJ14" s="49" t="e">
        <f ca="1">IF(ABS(OFFSET($BW14,,$CJ$1,1,1))&gt;=1000,ROUND(OFFSET($BW14,,$CJ$1,1,1)/1000,1)&amp;" т. р.",OFFSET($BW14,,$CJ$1,1,1))</f>
        <v>#N/A</v>
      </c>
    </row>
    <row r="15" spans="1:108" x14ac:dyDescent="0.2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50" t="s">
        <v>20</v>
      </c>
      <c r="BX15" s="53" t="e">
        <f t="shared" ref="BX15:CI15" ca="1" si="10">IF(BX5&gt;0,BX8/BX5,NA())</f>
        <v>#N/A</v>
      </c>
      <c r="BY15" s="53" t="e">
        <f t="shared" ca="1" si="10"/>
        <v>#N/A</v>
      </c>
      <c r="BZ15" s="53" t="e">
        <f t="shared" ca="1" si="10"/>
        <v>#N/A</v>
      </c>
      <c r="CA15" s="53" t="e">
        <f t="shared" ca="1" si="10"/>
        <v>#N/A</v>
      </c>
      <c r="CB15" s="53" t="e">
        <f t="shared" ca="1" si="10"/>
        <v>#N/A</v>
      </c>
      <c r="CC15" s="53" t="e">
        <f t="shared" ca="1" si="10"/>
        <v>#N/A</v>
      </c>
      <c r="CD15" s="53" t="e">
        <f t="shared" ca="1" si="10"/>
        <v>#N/A</v>
      </c>
      <c r="CE15" s="53" t="e">
        <f t="shared" ca="1" si="10"/>
        <v>#N/A</v>
      </c>
      <c r="CF15" s="53" t="e">
        <f t="shared" ca="1" si="10"/>
        <v>#N/A</v>
      </c>
      <c r="CG15" s="53" t="e">
        <f t="shared" ca="1" si="10"/>
        <v>#N/A</v>
      </c>
      <c r="CH15" s="53" t="e">
        <f t="shared" ca="1" si="10"/>
        <v>#N/A</v>
      </c>
      <c r="CI15" s="53" t="e">
        <f t="shared" ca="1" si="10"/>
        <v>#N/A</v>
      </c>
      <c r="CJ15" s="49" t="e">
        <f ca="1">IF(ABS(OFFSET($BW15,,$CJ$1,1,1))&gt;=1000,ROUND(OFFSET($BW15,,$CJ$1,1,1)/1000,1)&amp;" т. р.",OFFSET($BW15,,$CJ$1,1,1))</f>
        <v>#N/A</v>
      </c>
    </row>
    <row r="16" spans="1:108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50" t="s">
        <v>22</v>
      </c>
      <c r="BX16" s="53" t="e">
        <f t="shared" ref="BX16:CI16" ca="1" si="11">IF(BX6&gt;0,BX7/BX6,NA())</f>
        <v>#N/A</v>
      </c>
      <c r="BY16" s="53" t="e">
        <f t="shared" ca="1" si="11"/>
        <v>#N/A</v>
      </c>
      <c r="BZ16" s="53" t="e">
        <f t="shared" ca="1" si="11"/>
        <v>#N/A</v>
      </c>
      <c r="CA16" s="53" t="e">
        <f t="shared" ca="1" si="11"/>
        <v>#N/A</v>
      </c>
      <c r="CB16" s="53" t="e">
        <f t="shared" ca="1" si="11"/>
        <v>#N/A</v>
      </c>
      <c r="CC16" s="53" t="e">
        <f t="shared" ca="1" si="11"/>
        <v>#N/A</v>
      </c>
      <c r="CD16" s="53" t="e">
        <f t="shared" ca="1" si="11"/>
        <v>#N/A</v>
      </c>
      <c r="CE16" s="53" t="e">
        <f t="shared" ca="1" si="11"/>
        <v>#N/A</v>
      </c>
      <c r="CF16" s="53" t="e">
        <f t="shared" ca="1" si="11"/>
        <v>#N/A</v>
      </c>
      <c r="CG16" s="53" t="e">
        <f t="shared" ca="1" si="11"/>
        <v>#N/A</v>
      </c>
      <c r="CH16" s="53" t="e">
        <f t="shared" ca="1" si="11"/>
        <v>#N/A</v>
      </c>
      <c r="CI16" s="53" t="e">
        <f t="shared" ca="1" si="11"/>
        <v>#N/A</v>
      </c>
      <c r="CJ16" s="49" t="e">
        <f ca="1">IF(ABS(OFFSET($BW16,,$CJ$1,1,1))&gt;=1000,ROUND(OFFSET($BW16,,$CJ$1,1,1)/1000,1)&amp;" т. р.",OFFSET($BW16,,$CJ$1,1,1))</f>
        <v>#N/A</v>
      </c>
    </row>
    <row r="17" spans="2:108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50" t="s">
        <v>21</v>
      </c>
      <c r="BX17" s="51" t="e">
        <f t="shared" ref="BX17:CI17" ca="1" si="12">IF(BX8&gt;0,(BX7-BX8)/BX8,NA())</f>
        <v>#N/A</v>
      </c>
      <c r="BY17" s="51" t="e">
        <f t="shared" ca="1" si="12"/>
        <v>#N/A</v>
      </c>
      <c r="BZ17" s="51" t="e">
        <f t="shared" ca="1" si="12"/>
        <v>#N/A</v>
      </c>
      <c r="CA17" s="51" t="e">
        <f t="shared" ca="1" si="12"/>
        <v>#N/A</v>
      </c>
      <c r="CB17" s="51" t="e">
        <f t="shared" ca="1" si="12"/>
        <v>#N/A</v>
      </c>
      <c r="CC17" s="51" t="e">
        <f t="shared" ca="1" si="12"/>
        <v>#N/A</v>
      </c>
      <c r="CD17" s="51" t="e">
        <f t="shared" ca="1" si="12"/>
        <v>#N/A</v>
      </c>
      <c r="CE17" s="51" t="e">
        <f t="shared" ca="1" si="12"/>
        <v>#N/A</v>
      </c>
      <c r="CF17" s="51" t="e">
        <f t="shared" ca="1" si="12"/>
        <v>#N/A</v>
      </c>
      <c r="CG17" s="51" t="e">
        <f t="shared" ca="1" si="12"/>
        <v>#N/A</v>
      </c>
      <c r="CH17" s="51" t="e">
        <f t="shared" ca="1" si="12"/>
        <v>#N/A</v>
      </c>
      <c r="CI17" s="51" t="e">
        <f t="shared" ca="1" si="12"/>
        <v>#N/A</v>
      </c>
      <c r="CJ17" s="52" t="e">
        <f ca="1">OFFSET($BW17,,$CJ$1,1,1)</f>
        <v>#N/A</v>
      </c>
    </row>
    <row r="18" spans="2:108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50" t="s">
        <v>23</v>
      </c>
      <c r="BX18" s="53" t="e">
        <f t="shared" ref="BX18:CI18" ca="1" si="13">IF((BX7-BX8)&lt;&gt;0,BX7-BX8,NA())</f>
        <v>#N/A</v>
      </c>
      <c r="BY18" s="53" t="e">
        <f t="shared" ca="1" si="13"/>
        <v>#N/A</v>
      </c>
      <c r="BZ18" s="53" t="e">
        <f t="shared" ca="1" si="13"/>
        <v>#N/A</v>
      </c>
      <c r="CA18" s="53" t="e">
        <f t="shared" ca="1" si="13"/>
        <v>#N/A</v>
      </c>
      <c r="CB18" s="53" t="e">
        <f t="shared" ca="1" si="13"/>
        <v>#N/A</v>
      </c>
      <c r="CC18" s="53" t="e">
        <f t="shared" ca="1" si="13"/>
        <v>#N/A</v>
      </c>
      <c r="CD18" s="53" t="e">
        <f t="shared" ca="1" si="13"/>
        <v>#N/A</v>
      </c>
      <c r="CE18" s="53" t="e">
        <f t="shared" ca="1" si="13"/>
        <v>#N/A</v>
      </c>
      <c r="CF18" s="53" t="e">
        <f t="shared" ca="1" si="13"/>
        <v>#N/A</v>
      </c>
      <c r="CG18" s="53" t="e">
        <f t="shared" ca="1" si="13"/>
        <v>#N/A</v>
      </c>
      <c r="CH18" s="53" t="e">
        <f t="shared" ca="1" si="13"/>
        <v>#N/A</v>
      </c>
      <c r="CI18" s="53" t="e">
        <f t="shared" ca="1" si="13"/>
        <v>#N/A</v>
      </c>
      <c r="CJ18" s="49" t="e">
        <f ca="1">IF(ABS(OFFSET($BW18,,$CJ$1,1,1))&gt;=1000,ROUND(OFFSET($BW18,,$CJ$1,1,1)/1000,1)&amp;" т. р.",OFFSET($BW18,,$CJ$1,1,1))</f>
        <v>#N/A</v>
      </c>
    </row>
    <row r="19" spans="2:108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50" t="s">
        <v>24</v>
      </c>
      <c r="BX19" s="53" t="e">
        <f ca="1">IF((BX18-IFERROR(BX9,0))&lt;&gt;0,BX18-IFERROR(BX9,0),NA())</f>
        <v>#N/A</v>
      </c>
      <c r="BY19" s="53" t="e">
        <f t="shared" ref="BY19:CI19" ca="1" si="14">IF((BY18-IFERROR(BY9,0))&lt;&gt;0,BY18-IFERROR(BY9,0),NA())</f>
        <v>#N/A</v>
      </c>
      <c r="BZ19" s="53" t="e">
        <f t="shared" ca="1" si="14"/>
        <v>#N/A</v>
      </c>
      <c r="CA19" s="53" t="e">
        <f t="shared" ca="1" si="14"/>
        <v>#N/A</v>
      </c>
      <c r="CB19" s="53" t="e">
        <f t="shared" ca="1" si="14"/>
        <v>#N/A</v>
      </c>
      <c r="CC19" s="53" t="e">
        <f t="shared" ca="1" si="14"/>
        <v>#N/A</v>
      </c>
      <c r="CD19" s="53" t="e">
        <f t="shared" ca="1" si="14"/>
        <v>#N/A</v>
      </c>
      <c r="CE19" s="53" t="e">
        <f t="shared" ca="1" si="14"/>
        <v>#N/A</v>
      </c>
      <c r="CF19" s="53" t="e">
        <f t="shared" ca="1" si="14"/>
        <v>#N/A</v>
      </c>
      <c r="CG19" s="53" t="e">
        <f t="shared" ca="1" si="14"/>
        <v>#N/A</v>
      </c>
      <c r="CH19" s="53" t="e">
        <f t="shared" ca="1" si="14"/>
        <v>#N/A</v>
      </c>
      <c r="CI19" s="53" t="e">
        <f t="shared" ca="1" si="14"/>
        <v>#N/A</v>
      </c>
      <c r="CJ19" s="49" t="e">
        <f ca="1">IF(ABS(OFFSET($BW19,,$CJ$1,1,1))&gt;=1000,ROUND(OFFSET($BW19,,$CJ$1,1,1)/1000,1)&amp;" т. р.",OFFSET($BW19,,$CJ$1,1,1))</f>
        <v>#N/A</v>
      </c>
    </row>
    <row r="20" spans="2:108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X20" s="42">
        <v>1</v>
      </c>
      <c r="BY20" s="42">
        <v>0</v>
      </c>
      <c r="BZ20" s="42">
        <v>1</v>
      </c>
      <c r="CA20" s="42">
        <v>0</v>
      </c>
      <c r="CB20" s="42">
        <v>1</v>
      </c>
      <c r="CC20" s="42">
        <v>0</v>
      </c>
      <c r="CD20" s="42">
        <v>1</v>
      </c>
      <c r="CE20" s="42">
        <v>0</v>
      </c>
      <c r="CF20" s="42">
        <v>1</v>
      </c>
      <c r="CG20" s="42">
        <v>0</v>
      </c>
      <c r="CH20" s="42">
        <v>1</v>
      </c>
      <c r="CI20" s="42">
        <v>0</v>
      </c>
    </row>
    <row r="21" spans="2:108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X21" s="42" t="s">
        <v>29</v>
      </c>
      <c r="BY21" s="42" t="s">
        <v>27</v>
      </c>
      <c r="BZ21" s="42" t="s">
        <v>28</v>
      </c>
      <c r="CA21" s="42" t="s">
        <v>30</v>
      </c>
      <c r="CB21" s="42" t="s">
        <v>31</v>
      </c>
      <c r="CC21" s="42" t="s">
        <v>33</v>
      </c>
      <c r="CD21" s="42" t="s">
        <v>32</v>
      </c>
      <c r="CE21" s="42" t="s">
        <v>34</v>
      </c>
      <c r="CF21" s="42" t="s">
        <v>35</v>
      </c>
      <c r="CG21" s="42" t="s">
        <v>36</v>
      </c>
      <c r="CH21" s="42" t="s">
        <v>37</v>
      </c>
      <c r="CI21" s="42" t="s">
        <v>38</v>
      </c>
    </row>
    <row r="22" spans="2:108" x14ac:dyDescent="0.25">
      <c r="B22" s="41"/>
      <c r="C22" s="337" t="s">
        <v>128</v>
      </c>
      <c r="D22" s="338"/>
      <c r="E22" s="109" t="e">
        <f t="shared" ref="E22:P22" ca="1" si="15">IF(ABS(BX19)&gt;=1000,ROUND(BX19/1000,1)&amp;"т. р.",BX19)</f>
        <v>#N/A</v>
      </c>
      <c r="F22" s="107" t="e">
        <f t="shared" ca="1" si="15"/>
        <v>#N/A</v>
      </c>
      <c r="G22" s="107" t="e">
        <f t="shared" ca="1" si="15"/>
        <v>#N/A</v>
      </c>
      <c r="H22" s="107" t="e">
        <f t="shared" ca="1" si="15"/>
        <v>#N/A</v>
      </c>
      <c r="I22" s="107" t="e">
        <f t="shared" ca="1" si="15"/>
        <v>#N/A</v>
      </c>
      <c r="J22" s="107" t="e">
        <f t="shared" ca="1" si="15"/>
        <v>#N/A</v>
      </c>
      <c r="K22" s="107" t="e">
        <f t="shared" ca="1" si="15"/>
        <v>#N/A</v>
      </c>
      <c r="L22" s="107" t="e">
        <f t="shared" ca="1" si="15"/>
        <v>#N/A</v>
      </c>
      <c r="M22" s="107" t="e">
        <f t="shared" ca="1" si="15"/>
        <v>#N/A</v>
      </c>
      <c r="N22" s="107" t="e">
        <f t="shared" ca="1" si="15"/>
        <v>#N/A</v>
      </c>
      <c r="O22" s="107" t="e">
        <f t="shared" ca="1" si="15"/>
        <v>#N/A</v>
      </c>
      <c r="P22" s="110" t="e">
        <f t="shared" ca="1" si="15"/>
        <v>#N/A</v>
      </c>
      <c r="Q22" s="41"/>
      <c r="R22" s="41"/>
      <c r="S22" s="41"/>
      <c r="T22" s="337" t="s">
        <v>128</v>
      </c>
      <c r="U22" s="338"/>
      <c r="V22" s="113" t="e">
        <f t="shared" ref="V22:AG22" ca="1" si="16">BX10</f>
        <v>#N/A</v>
      </c>
      <c r="W22" s="114" t="e">
        <f t="shared" ca="1" si="16"/>
        <v>#N/A</v>
      </c>
      <c r="X22" s="114" t="e">
        <f t="shared" ca="1" si="16"/>
        <v>#N/A</v>
      </c>
      <c r="Y22" s="114" t="e">
        <f t="shared" ca="1" si="16"/>
        <v>#N/A</v>
      </c>
      <c r="Z22" s="114" t="e">
        <f t="shared" ca="1" si="16"/>
        <v>#N/A</v>
      </c>
      <c r="AA22" s="114" t="e">
        <f t="shared" ca="1" si="16"/>
        <v>#N/A</v>
      </c>
      <c r="AB22" s="114" t="e">
        <f t="shared" ca="1" si="16"/>
        <v>#N/A</v>
      </c>
      <c r="AC22" s="114" t="e">
        <f t="shared" ca="1" si="16"/>
        <v>#N/A</v>
      </c>
      <c r="AD22" s="114" t="e">
        <f t="shared" ca="1" si="16"/>
        <v>#N/A</v>
      </c>
      <c r="AE22" s="114" t="e">
        <f t="shared" ca="1" si="16"/>
        <v>#N/A</v>
      </c>
      <c r="AF22" s="114" t="e">
        <f t="shared" ca="1" si="16"/>
        <v>#N/A</v>
      </c>
      <c r="AG22" s="115" t="e">
        <f t="shared" ca="1" si="16"/>
        <v>#N/A</v>
      </c>
      <c r="AH22" s="41"/>
      <c r="AI22" s="41"/>
      <c r="AJ22" s="41"/>
      <c r="AK22" s="337" t="s">
        <v>128</v>
      </c>
      <c r="AL22" s="338"/>
      <c r="AM22" s="117" t="e">
        <f t="shared" ref="AM22:AX22" ca="1" si="17">IF(ABS(BX3)&gt;=1000,ROUND(BX3/1000,1)&amp;"k",BX3)</f>
        <v>#N/A</v>
      </c>
      <c r="AN22" s="118" t="e">
        <f t="shared" ca="1" si="17"/>
        <v>#N/A</v>
      </c>
      <c r="AO22" s="118" t="e">
        <f t="shared" ca="1" si="17"/>
        <v>#N/A</v>
      </c>
      <c r="AP22" s="118" t="e">
        <f t="shared" ca="1" si="17"/>
        <v>#N/A</v>
      </c>
      <c r="AQ22" s="118" t="e">
        <f t="shared" ca="1" si="17"/>
        <v>#N/A</v>
      </c>
      <c r="AR22" s="118" t="e">
        <f t="shared" ca="1" si="17"/>
        <v>#N/A</v>
      </c>
      <c r="AS22" s="118" t="e">
        <f t="shared" ca="1" si="17"/>
        <v>#N/A</v>
      </c>
      <c r="AT22" s="118" t="e">
        <f t="shared" ca="1" si="17"/>
        <v>#N/A</v>
      </c>
      <c r="AU22" s="118" t="e">
        <f t="shared" ca="1" si="17"/>
        <v>#N/A</v>
      </c>
      <c r="AV22" s="118" t="e">
        <f t="shared" ca="1" si="17"/>
        <v>#N/A</v>
      </c>
      <c r="AW22" s="118" t="e">
        <f t="shared" ca="1" si="17"/>
        <v>#N/A</v>
      </c>
      <c r="AX22" s="119" t="e">
        <f t="shared" ca="1" si="17"/>
        <v>#N/A</v>
      </c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X22" s="54">
        <v>1</v>
      </c>
      <c r="BY22" s="54">
        <v>2</v>
      </c>
      <c r="BZ22" s="54">
        <v>3</v>
      </c>
      <c r="CA22" s="54">
        <v>4</v>
      </c>
      <c r="CB22" s="54">
        <v>5</v>
      </c>
      <c r="CC22" s="54">
        <v>6</v>
      </c>
      <c r="CD22" s="54">
        <v>7</v>
      </c>
      <c r="CE22" s="54">
        <v>8</v>
      </c>
      <c r="CF22" s="54">
        <v>9</v>
      </c>
      <c r="CG22" s="54">
        <v>10</v>
      </c>
      <c r="CH22" s="54">
        <v>11</v>
      </c>
      <c r="CI22" s="54">
        <v>12</v>
      </c>
    </row>
    <row r="23" spans="2:108" x14ac:dyDescent="0.25">
      <c r="B23" s="41"/>
      <c r="C23" s="337" t="s">
        <v>130</v>
      </c>
      <c r="D23" s="338"/>
      <c r="E23" s="111" t="s">
        <v>129</v>
      </c>
      <c r="F23" s="108">
        <f t="shared" ref="F23:P23" ca="1" si="18">IFERROR((BY19-BX19)/BX19,0)</f>
        <v>0</v>
      </c>
      <c r="G23" s="108">
        <f t="shared" ca="1" si="18"/>
        <v>0</v>
      </c>
      <c r="H23" s="108">
        <f t="shared" ca="1" si="18"/>
        <v>0</v>
      </c>
      <c r="I23" s="108">
        <f t="shared" ca="1" si="18"/>
        <v>0</v>
      </c>
      <c r="J23" s="108">
        <f t="shared" ca="1" si="18"/>
        <v>0</v>
      </c>
      <c r="K23" s="108">
        <f t="shared" ca="1" si="18"/>
        <v>0</v>
      </c>
      <c r="L23" s="108">
        <f t="shared" ca="1" si="18"/>
        <v>0</v>
      </c>
      <c r="M23" s="108">
        <f t="shared" ca="1" si="18"/>
        <v>0</v>
      </c>
      <c r="N23" s="108">
        <f t="shared" ca="1" si="18"/>
        <v>0</v>
      </c>
      <c r="O23" s="108">
        <f t="shared" ca="1" si="18"/>
        <v>0</v>
      </c>
      <c r="P23" s="112">
        <f t="shared" ca="1" si="18"/>
        <v>0</v>
      </c>
      <c r="Q23" s="41"/>
      <c r="R23" s="41"/>
      <c r="S23" s="41"/>
      <c r="T23" s="337" t="s">
        <v>130</v>
      </c>
      <c r="U23" s="338"/>
      <c r="V23" s="166" t="s">
        <v>129</v>
      </c>
      <c r="W23" s="167">
        <f ca="1">IFERROR((BY10-BX10)/BX10,0)</f>
        <v>0</v>
      </c>
      <c r="X23" s="167">
        <f t="shared" ref="X23:AG23" ca="1" si="19">IFERROR((BZ10-BY10)/BY10,0)</f>
        <v>0</v>
      </c>
      <c r="Y23" s="167">
        <f t="shared" ca="1" si="19"/>
        <v>0</v>
      </c>
      <c r="Z23" s="167">
        <f t="shared" ca="1" si="19"/>
        <v>0</v>
      </c>
      <c r="AA23" s="167">
        <f t="shared" ca="1" si="19"/>
        <v>0</v>
      </c>
      <c r="AB23" s="167">
        <f t="shared" ca="1" si="19"/>
        <v>0</v>
      </c>
      <c r="AC23" s="167">
        <f t="shared" ca="1" si="19"/>
        <v>0</v>
      </c>
      <c r="AD23" s="167">
        <f t="shared" ca="1" si="19"/>
        <v>0</v>
      </c>
      <c r="AE23" s="167">
        <f t="shared" ca="1" si="19"/>
        <v>0</v>
      </c>
      <c r="AF23" s="167">
        <f t="shared" ca="1" si="19"/>
        <v>0</v>
      </c>
      <c r="AG23" s="168">
        <f t="shared" ca="1" si="19"/>
        <v>0</v>
      </c>
      <c r="AH23" s="41"/>
      <c r="AI23" s="41"/>
      <c r="AJ23" s="41"/>
      <c r="AK23" s="337" t="s">
        <v>130</v>
      </c>
      <c r="AL23" s="338"/>
      <c r="AM23" s="111" t="s">
        <v>129</v>
      </c>
      <c r="AN23" s="108">
        <f t="shared" ref="AN23:AX23" ca="1" si="20">IFERROR((BY3-BX3)/BX3,0)</f>
        <v>0</v>
      </c>
      <c r="AO23" s="108">
        <f t="shared" ca="1" si="20"/>
        <v>0</v>
      </c>
      <c r="AP23" s="108">
        <f t="shared" ca="1" si="20"/>
        <v>0</v>
      </c>
      <c r="AQ23" s="108">
        <f t="shared" ca="1" si="20"/>
        <v>0</v>
      </c>
      <c r="AR23" s="108">
        <f t="shared" ca="1" si="20"/>
        <v>0</v>
      </c>
      <c r="AS23" s="108">
        <f t="shared" ca="1" si="20"/>
        <v>0</v>
      </c>
      <c r="AT23" s="108">
        <f t="shared" ca="1" si="20"/>
        <v>0</v>
      </c>
      <c r="AU23" s="108">
        <f t="shared" ca="1" si="20"/>
        <v>0</v>
      </c>
      <c r="AV23" s="108">
        <f t="shared" ca="1" si="20"/>
        <v>0</v>
      </c>
      <c r="AW23" s="108">
        <f t="shared" ca="1" si="20"/>
        <v>0</v>
      </c>
      <c r="AX23" s="112">
        <f t="shared" ca="1" si="20"/>
        <v>0</v>
      </c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5" t="s">
        <v>0</v>
      </c>
      <c r="BX23" s="46" t="e">
        <f t="shared" ref="BX23:CI23" ca="1" si="21">IF(BX$22=$CJ$1,BX3,NA())</f>
        <v>#N/A</v>
      </c>
      <c r="BY23" s="46" t="e">
        <f t="shared" si="21"/>
        <v>#N/A</v>
      </c>
      <c r="BZ23" s="46" t="e">
        <f t="shared" si="21"/>
        <v>#N/A</v>
      </c>
      <c r="CA23" s="46" t="e">
        <f t="shared" si="21"/>
        <v>#N/A</v>
      </c>
      <c r="CB23" s="46" t="e">
        <f t="shared" si="21"/>
        <v>#N/A</v>
      </c>
      <c r="CC23" s="46" t="e">
        <f t="shared" si="21"/>
        <v>#N/A</v>
      </c>
      <c r="CD23" s="46" t="e">
        <f t="shared" si="21"/>
        <v>#N/A</v>
      </c>
      <c r="CE23" s="46" t="e">
        <f t="shared" si="21"/>
        <v>#N/A</v>
      </c>
      <c r="CF23" s="46" t="e">
        <f t="shared" si="21"/>
        <v>#N/A</v>
      </c>
      <c r="CG23" s="46" t="e">
        <f t="shared" si="21"/>
        <v>#N/A</v>
      </c>
      <c r="CH23" s="46" t="e">
        <f t="shared" si="21"/>
        <v>#N/A</v>
      </c>
      <c r="CI23" s="46" t="e">
        <f t="shared" si="21"/>
        <v>#N/A</v>
      </c>
    </row>
    <row r="24" spans="2:108" ht="38.25" customHeight="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5" t="s">
        <v>1</v>
      </c>
      <c r="BX24" s="46" t="e">
        <f t="shared" ref="BX24:CI24" ca="1" si="22">IF(BX$22=$CJ$1,BX4,NA())</f>
        <v>#N/A</v>
      </c>
      <c r="BY24" s="46" t="e">
        <f t="shared" si="22"/>
        <v>#N/A</v>
      </c>
      <c r="BZ24" s="46" t="e">
        <f t="shared" si="22"/>
        <v>#N/A</v>
      </c>
      <c r="CA24" s="46" t="e">
        <f t="shared" si="22"/>
        <v>#N/A</v>
      </c>
      <c r="CB24" s="46" t="e">
        <f t="shared" si="22"/>
        <v>#N/A</v>
      </c>
      <c r="CC24" s="46" t="e">
        <f t="shared" si="22"/>
        <v>#N/A</v>
      </c>
      <c r="CD24" s="46" t="e">
        <f t="shared" si="22"/>
        <v>#N/A</v>
      </c>
      <c r="CE24" s="46" t="e">
        <f t="shared" si="22"/>
        <v>#N/A</v>
      </c>
      <c r="CF24" s="46" t="e">
        <f t="shared" si="22"/>
        <v>#N/A</v>
      </c>
      <c r="CG24" s="46" t="e">
        <f t="shared" si="22"/>
        <v>#N/A</v>
      </c>
      <c r="CH24" s="46" t="e">
        <f t="shared" si="22"/>
        <v>#N/A</v>
      </c>
      <c r="CI24" s="46" t="e">
        <f t="shared" si="22"/>
        <v>#N/A</v>
      </c>
    </row>
    <row r="25" spans="2:108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5" t="s">
        <v>2</v>
      </c>
      <c r="BX25" s="46" t="e">
        <f t="shared" ref="BX25:CI25" ca="1" si="23">IF(BX$22=$CJ$1,BX5,NA())</f>
        <v>#N/A</v>
      </c>
      <c r="BY25" s="46" t="e">
        <f t="shared" si="23"/>
        <v>#N/A</v>
      </c>
      <c r="BZ25" s="46" t="e">
        <f t="shared" si="23"/>
        <v>#N/A</v>
      </c>
      <c r="CA25" s="46" t="e">
        <f t="shared" si="23"/>
        <v>#N/A</v>
      </c>
      <c r="CB25" s="46" t="e">
        <f t="shared" si="23"/>
        <v>#N/A</v>
      </c>
      <c r="CC25" s="46" t="e">
        <f t="shared" si="23"/>
        <v>#N/A</v>
      </c>
      <c r="CD25" s="46" t="e">
        <f t="shared" si="23"/>
        <v>#N/A</v>
      </c>
      <c r="CE25" s="46" t="e">
        <f t="shared" si="23"/>
        <v>#N/A</v>
      </c>
      <c r="CF25" s="46" t="e">
        <f t="shared" si="23"/>
        <v>#N/A</v>
      </c>
      <c r="CG25" s="46" t="e">
        <f t="shared" si="23"/>
        <v>#N/A</v>
      </c>
      <c r="CH25" s="46" t="e">
        <f t="shared" si="23"/>
        <v>#N/A</v>
      </c>
      <c r="CI25" s="46" t="e">
        <f t="shared" si="23"/>
        <v>#N/A</v>
      </c>
    </row>
    <row r="26" spans="2:108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5" t="s">
        <v>3</v>
      </c>
      <c r="BX26" s="46" t="e">
        <f t="shared" ref="BX26:CI26" ca="1" si="24">IF(BX$22=$CJ$1,BX6,NA())</f>
        <v>#N/A</v>
      </c>
      <c r="BY26" s="46" t="e">
        <f t="shared" si="24"/>
        <v>#N/A</v>
      </c>
      <c r="BZ26" s="46" t="e">
        <f t="shared" si="24"/>
        <v>#N/A</v>
      </c>
      <c r="CA26" s="46" t="e">
        <f t="shared" si="24"/>
        <v>#N/A</v>
      </c>
      <c r="CB26" s="46" t="e">
        <f t="shared" si="24"/>
        <v>#N/A</v>
      </c>
      <c r="CC26" s="46" t="e">
        <f t="shared" si="24"/>
        <v>#N/A</v>
      </c>
      <c r="CD26" s="46" t="e">
        <f t="shared" si="24"/>
        <v>#N/A</v>
      </c>
      <c r="CE26" s="46" t="e">
        <f t="shared" si="24"/>
        <v>#N/A</v>
      </c>
      <c r="CF26" s="46" t="e">
        <f t="shared" si="24"/>
        <v>#N/A</v>
      </c>
      <c r="CG26" s="46" t="e">
        <f t="shared" si="24"/>
        <v>#N/A</v>
      </c>
      <c r="CH26" s="46" t="e">
        <f t="shared" si="24"/>
        <v>#N/A</v>
      </c>
      <c r="CI26" s="46" t="e">
        <f t="shared" si="24"/>
        <v>#N/A</v>
      </c>
    </row>
    <row r="27" spans="2:108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5" t="s">
        <v>4</v>
      </c>
      <c r="BX27" s="48" t="e">
        <f t="shared" ref="BX27:CI27" ca="1" si="25">IF(BX$22=$CJ$1,BX7,NA())</f>
        <v>#N/A</v>
      </c>
      <c r="BY27" s="48" t="e">
        <f t="shared" si="25"/>
        <v>#N/A</v>
      </c>
      <c r="BZ27" s="48" t="e">
        <f t="shared" si="25"/>
        <v>#N/A</v>
      </c>
      <c r="CA27" s="48" t="e">
        <f t="shared" si="25"/>
        <v>#N/A</v>
      </c>
      <c r="CB27" s="48" t="e">
        <f t="shared" si="25"/>
        <v>#N/A</v>
      </c>
      <c r="CC27" s="48" t="e">
        <f t="shared" si="25"/>
        <v>#N/A</v>
      </c>
      <c r="CD27" s="48" t="e">
        <f t="shared" si="25"/>
        <v>#N/A</v>
      </c>
      <c r="CE27" s="48" t="e">
        <f t="shared" si="25"/>
        <v>#N/A</v>
      </c>
      <c r="CF27" s="48" t="e">
        <f t="shared" si="25"/>
        <v>#N/A</v>
      </c>
      <c r="CG27" s="48" t="e">
        <f t="shared" si="25"/>
        <v>#N/A</v>
      </c>
      <c r="CH27" s="48" t="e">
        <f t="shared" si="25"/>
        <v>#N/A</v>
      </c>
      <c r="CI27" s="48" t="e">
        <f t="shared" si="25"/>
        <v>#N/A</v>
      </c>
    </row>
    <row r="28" spans="2:108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5" t="s">
        <v>133</v>
      </c>
      <c r="BX28" s="48" t="e">
        <f t="shared" ref="BX28:CI28" ca="1" si="26">IF(BX$22=$CJ$1,BX40,NA())</f>
        <v>#N/A</v>
      </c>
      <c r="BY28" s="48" t="e">
        <f t="shared" si="26"/>
        <v>#N/A</v>
      </c>
      <c r="BZ28" s="48" t="e">
        <f t="shared" si="26"/>
        <v>#N/A</v>
      </c>
      <c r="CA28" s="48" t="e">
        <f t="shared" si="26"/>
        <v>#N/A</v>
      </c>
      <c r="CB28" s="48" t="e">
        <f t="shared" si="26"/>
        <v>#N/A</v>
      </c>
      <c r="CC28" s="48" t="e">
        <f t="shared" si="26"/>
        <v>#N/A</v>
      </c>
      <c r="CD28" s="48" t="e">
        <f t="shared" si="26"/>
        <v>#N/A</v>
      </c>
      <c r="CE28" s="48" t="e">
        <f t="shared" si="26"/>
        <v>#N/A</v>
      </c>
      <c r="CF28" s="48" t="e">
        <f t="shared" si="26"/>
        <v>#N/A</v>
      </c>
      <c r="CG28" s="48" t="e">
        <f t="shared" si="26"/>
        <v>#N/A</v>
      </c>
      <c r="CH28" s="48" t="e">
        <f t="shared" si="26"/>
        <v>#N/A</v>
      </c>
      <c r="CI28" s="48" t="e">
        <f t="shared" si="26"/>
        <v>#N/A</v>
      </c>
      <c r="DD28" s="38" t="b">
        <v>1</v>
      </c>
    </row>
    <row r="29" spans="2:108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5" t="s">
        <v>134</v>
      </c>
      <c r="BX29" s="48" t="e">
        <f t="shared" ref="BX29:CI29" ca="1" si="27">IF(BX$22=$CJ$1,BX41,NA())</f>
        <v>#N/A</v>
      </c>
      <c r="BY29" s="48" t="e">
        <f t="shared" si="27"/>
        <v>#N/A</v>
      </c>
      <c r="BZ29" s="48" t="e">
        <f t="shared" si="27"/>
        <v>#N/A</v>
      </c>
      <c r="CA29" s="48" t="e">
        <f t="shared" si="27"/>
        <v>#N/A</v>
      </c>
      <c r="CB29" s="48" t="e">
        <f t="shared" si="27"/>
        <v>#N/A</v>
      </c>
      <c r="CC29" s="48" t="e">
        <f t="shared" si="27"/>
        <v>#N/A</v>
      </c>
      <c r="CD29" s="48" t="e">
        <f t="shared" si="27"/>
        <v>#N/A</v>
      </c>
      <c r="CE29" s="48" t="e">
        <f t="shared" si="27"/>
        <v>#N/A</v>
      </c>
      <c r="CF29" s="48" t="e">
        <f t="shared" si="27"/>
        <v>#N/A</v>
      </c>
      <c r="CG29" s="48" t="e">
        <f t="shared" si="27"/>
        <v>#N/A</v>
      </c>
      <c r="CH29" s="48" t="e">
        <f t="shared" si="27"/>
        <v>#N/A</v>
      </c>
      <c r="CI29" s="48" t="e">
        <f t="shared" si="27"/>
        <v>#N/A</v>
      </c>
      <c r="DD29" s="38" t="b">
        <v>1</v>
      </c>
    </row>
    <row r="30" spans="2:108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50" t="s">
        <v>15</v>
      </c>
      <c r="BX30" s="51" t="e">
        <f t="shared" ref="BX30:CI30" ca="1" si="28">IF(BX$22=$CJ$1,BX10,NA())</f>
        <v>#N/A</v>
      </c>
      <c r="BY30" s="51" t="e">
        <f t="shared" si="28"/>
        <v>#N/A</v>
      </c>
      <c r="BZ30" s="51" t="e">
        <f t="shared" si="28"/>
        <v>#N/A</v>
      </c>
      <c r="CA30" s="51" t="e">
        <f t="shared" si="28"/>
        <v>#N/A</v>
      </c>
      <c r="CB30" s="51" t="e">
        <f t="shared" si="28"/>
        <v>#N/A</v>
      </c>
      <c r="CC30" s="51" t="e">
        <f t="shared" si="28"/>
        <v>#N/A</v>
      </c>
      <c r="CD30" s="51" t="e">
        <f t="shared" si="28"/>
        <v>#N/A</v>
      </c>
      <c r="CE30" s="51" t="e">
        <f t="shared" si="28"/>
        <v>#N/A</v>
      </c>
      <c r="CF30" s="51" t="e">
        <f t="shared" si="28"/>
        <v>#N/A</v>
      </c>
      <c r="CG30" s="51" t="e">
        <f t="shared" si="28"/>
        <v>#N/A</v>
      </c>
      <c r="CH30" s="51" t="e">
        <f t="shared" si="28"/>
        <v>#N/A</v>
      </c>
      <c r="CI30" s="51" t="e">
        <f t="shared" si="28"/>
        <v>#N/A</v>
      </c>
    </row>
    <row r="31" spans="2:108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50" t="s">
        <v>16</v>
      </c>
      <c r="BX31" s="51" t="e">
        <f t="shared" ref="BX31:CI31" ca="1" si="29">IF(BX$22=$CJ$1,BX11,NA())</f>
        <v>#N/A</v>
      </c>
      <c r="BY31" s="51" t="e">
        <f t="shared" si="29"/>
        <v>#N/A</v>
      </c>
      <c r="BZ31" s="51" t="e">
        <f t="shared" si="29"/>
        <v>#N/A</v>
      </c>
      <c r="CA31" s="51" t="e">
        <f t="shared" si="29"/>
        <v>#N/A</v>
      </c>
      <c r="CB31" s="51" t="e">
        <f t="shared" si="29"/>
        <v>#N/A</v>
      </c>
      <c r="CC31" s="51" t="e">
        <f t="shared" si="29"/>
        <v>#N/A</v>
      </c>
      <c r="CD31" s="51" t="e">
        <f t="shared" si="29"/>
        <v>#N/A</v>
      </c>
      <c r="CE31" s="51" t="e">
        <f t="shared" si="29"/>
        <v>#N/A</v>
      </c>
      <c r="CF31" s="51" t="e">
        <f t="shared" si="29"/>
        <v>#N/A</v>
      </c>
      <c r="CG31" s="51" t="e">
        <f t="shared" si="29"/>
        <v>#N/A</v>
      </c>
      <c r="CH31" s="51" t="e">
        <f t="shared" si="29"/>
        <v>#N/A</v>
      </c>
      <c r="CI31" s="51" t="e">
        <f t="shared" si="29"/>
        <v>#N/A</v>
      </c>
    </row>
    <row r="32" spans="2:108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50" t="s">
        <v>17</v>
      </c>
      <c r="BX32" s="51" t="e">
        <f t="shared" ref="BX32:CI32" ca="1" si="30">IF(BX$22=$CJ$1,BX12,NA())</f>
        <v>#N/A</v>
      </c>
      <c r="BY32" s="51" t="e">
        <f t="shared" si="30"/>
        <v>#N/A</v>
      </c>
      <c r="BZ32" s="51" t="e">
        <f t="shared" si="30"/>
        <v>#N/A</v>
      </c>
      <c r="CA32" s="51" t="e">
        <f t="shared" si="30"/>
        <v>#N/A</v>
      </c>
      <c r="CB32" s="51" t="e">
        <f t="shared" si="30"/>
        <v>#N/A</v>
      </c>
      <c r="CC32" s="51" t="e">
        <f t="shared" si="30"/>
        <v>#N/A</v>
      </c>
      <c r="CD32" s="51" t="e">
        <f t="shared" si="30"/>
        <v>#N/A</v>
      </c>
      <c r="CE32" s="51" t="e">
        <f t="shared" si="30"/>
        <v>#N/A</v>
      </c>
      <c r="CF32" s="51" t="e">
        <f t="shared" si="30"/>
        <v>#N/A</v>
      </c>
      <c r="CG32" s="51" t="e">
        <f t="shared" si="30"/>
        <v>#N/A</v>
      </c>
      <c r="CH32" s="51" t="e">
        <f t="shared" si="30"/>
        <v>#N/A</v>
      </c>
      <c r="CI32" s="51" t="e">
        <f t="shared" si="30"/>
        <v>#N/A</v>
      </c>
    </row>
    <row r="33" spans="2:87" x14ac:dyDescent="0.25">
      <c r="B33" s="41"/>
      <c r="C33" s="335" t="s">
        <v>128</v>
      </c>
      <c r="D33" s="336"/>
      <c r="E33" s="109" t="e">
        <f t="shared" ref="E33:P33" ca="1" si="31">IF(ABS(BX16)&gt;=1000,ROUND(BX16/1000,1)&amp;"т. р.",BX16)</f>
        <v>#N/A</v>
      </c>
      <c r="F33" s="107" t="e">
        <f t="shared" ca="1" si="31"/>
        <v>#N/A</v>
      </c>
      <c r="G33" s="107" t="e">
        <f t="shared" ca="1" si="31"/>
        <v>#N/A</v>
      </c>
      <c r="H33" s="107" t="e">
        <f t="shared" ca="1" si="31"/>
        <v>#N/A</v>
      </c>
      <c r="I33" s="107" t="e">
        <f t="shared" ca="1" si="31"/>
        <v>#N/A</v>
      </c>
      <c r="J33" s="107" t="e">
        <f t="shared" ca="1" si="31"/>
        <v>#N/A</v>
      </c>
      <c r="K33" s="107" t="e">
        <f t="shared" ca="1" si="31"/>
        <v>#N/A</v>
      </c>
      <c r="L33" s="107" t="e">
        <f t="shared" ca="1" si="31"/>
        <v>#N/A</v>
      </c>
      <c r="M33" s="107" t="e">
        <f t="shared" ca="1" si="31"/>
        <v>#N/A</v>
      </c>
      <c r="N33" s="107" t="e">
        <f t="shared" ca="1" si="31"/>
        <v>#N/A</v>
      </c>
      <c r="O33" s="107" t="e">
        <f t="shared" ca="1" si="31"/>
        <v>#N/A</v>
      </c>
      <c r="P33" s="110" t="e">
        <f t="shared" ca="1" si="31"/>
        <v>#N/A</v>
      </c>
      <c r="Q33" s="41"/>
      <c r="R33" s="41"/>
      <c r="S33" s="41"/>
      <c r="T33" s="335" t="s">
        <v>128</v>
      </c>
      <c r="U33" s="336"/>
      <c r="V33" s="113" t="e">
        <f t="shared" ref="V33:AG33" ca="1" si="32">BX11</f>
        <v>#N/A</v>
      </c>
      <c r="W33" s="114" t="e">
        <f t="shared" ca="1" si="32"/>
        <v>#N/A</v>
      </c>
      <c r="X33" s="114" t="e">
        <f t="shared" ca="1" si="32"/>
        <v>#N/A</v>
      </c>
      <c r="Y33" s="114" t="e">
        <f t="shared" ca="1" si="32"/>
        <v>#N/A</v>
      </c>
      <c r="Z33" s="114" t="e">
        <f t="shared" ca="1" si="32"/>
        <v>#N/A</v>
      </c>
      <c r="AA33" s="114" t="e">
        <f t="shared" ca="1" si="32"/>
        <v>#N/A</v>
      </c>
      <c r="AB33" s="114" t="e">
        <f t="shared" ca="1" si="32"/>
        <v>#N/A</v>
      </c>
      <c r="AC33" s="114" t="e">
        <f t="shared" ca="1" si="32"/>
        <v>#N/A</v>
      </c>
      <c r="AD33" s="114" t="e">
        <f t="shared" ca="1" si="32"/>
        <v>#N/A</v>
      </c>
      <c r="AE33" s="114" t="e">
        <f t="shared" ca="1" si="32"/>
        <v>#N/A</v>
      </c>
      <c r="AF33" s="114" t="e">
        <f t="shared" ca="1" si="32"/>
        <v>#N/A</v>
      </c>
      <c r="AG33" s="115" t="e">
        <f t="shared" ca="1" si="32"/>
        <v>#N/A</v>
      </c>
      <c r="AH33" s="41"/>
      <c r="AI33" s="41"/>
      <c r="AJ33" s="41"/>
      <c r="AK33" s="335" t="s">
        <v>128</v>
      </c>
      <c r="AL33" s="336"/>
      <c r="AM33" s="117" t="e">
        <f t="shared" ref="AM33:AX33" ca="1" si="33">IF(ABS(BX4)&gt;=1000,ROUND(BX4/1000,1)&amp;"k",BX4)</f>
        <v>#N/A</v>
      </c>
      <c r="AN33" s="118" t="e">
        <f t="shared" ca="1" si="33"/>
        <v>#N/A</v>
      </c>
      <c r="AO33" s="118" t="e">
        <f t="shared" ca="1" si="33"/>
        <v>#N/A</v>
      </c>
      <c r="AP33" s="118" t="e">
        <f t="shared" ca="1" si="33"/>
        <v>#N/A</v>
      </c>
      <c r="AQ33" s="118" t="e">
        <f t="shared" ca="1" si="33"/>
        <v>#N/A</v>
      </c>
      <c r="AR33" s="118" t="e">
        <f t="shared" ca="1" si="33"/>
        <v>#N/A</v>
      </c>
      <c r="AS33" s="118" t="e">
        <f t="shared" ca="1" si="33"/>
        <v>#N/A</v>
      </c>
      <c r="AT33" s="118" t="e">
        <f t="shared" ca="1" si="33"/>
        <v>#N/A</v>
      </c>
      <c r="AU33" s="118" t="e">
        <f t="shared" ca="1" si="33"/>
        <v>#N/A</v>
      </c>
      <c r="AV33" s="118" t="e">
        <f t="shared" ca="1" si="33"/>
        <v>#N/A</v>
      </c>
      <c r="AW33" s="118" t="e">
        <f t="shared" ca="1" si="33"/>
        <v>#N/A</v>
      </c>
      <c r="AX33" s="119" t="e">
        <f t="shared" ca="1" si="33"/>
        <v>#N/A</v>
      </c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50" t="s">
        <v>18</v>
      </c>
      <c r="BX33" s="53" t="e">
        <f t="shared" ref="BX33:CI33" ca="1" si="34">IF(BX$22=$CJ$1,BX13,NA())</f>
        <v>#N/A</v>
      </c>
      <c r="BY33" s="53" t="e">
        <f t="shared" si="34"/>
        <v>#N/A</v>
      </c>
      <c r="BZ33" s="53" t="e">
        <f t="shared" si="34"/>
        <v>#N/A</v>
      </c>
      <c r="CA33" s="53" t="e">
        <f t="shared" si="34"/>
        <v>#N/A</v>
      </c>
      <c r="CB33" s="53" t="e">
        <f t="shared" si="34"/>
        <v>#N/A</v>
      </c>
      <c r="CC33" s="53" t="e">
        <f t="shared" si="34"/>
        <v>#N/A</v>
      </c>
      <c r="CD33" s="53" t="e">
        <f t="shared" si="34"/>
        <v>#N/A</v>
      </c>
      <c r="CE33" s="53" t="e">
        <f t="shared" si="34"/>
        <v>#N/A</v>
      </c>
      <c r="CF33" s="53" t="e">
        <f t="shared" si="34"/>
        <v>#N/A</v>
      </c>
      <c r="CG33" s="53" t="e">
        <f t="shared" si="34"/>
        <v>#N/A</v>
      </c>
      <c r="CH33" s="53" t="e">
        <f t="shared" si="34"/>
        <v>#N/A</v>
      </c>
      <c r="CI33" s="53" t="e">
        <f t="shared" si="34"/>
        <v>#N/A</v>
      </c>
    </row>
    <row r="34" spans="2:87" x14ac:dyDescent="0.25">
      <c r="B34" s="41"/>
      <c r="C34" s="335" t="s">
        <v>130</v>
      </c>
      <c r="D34" s="336"/>
      <c r="E34" s="111" t="s">
        <v>129</v>
      </c>
      <c r="F34" s="108">
        <f t="shared" ref="F34:P34" ca="1" si="35">IFERROR((BY16-BX16)/BX16,0)</f>
        <v>0</v>
      </c>
      <c r="G34" s="108">
        <f t="shared" ca="1" si="35"/>
        <v>0</v>
      </c>
      <c r="H34" s="108">
        <f t="shared" ca="1" si="35"/>
        <v>0</v>
      </c>
      <c r="I34" s="108">
        <f t="shared" ca="1" si="35"/>
        <v>0</v>
      </c>
      <c r="J34" s="108">
        <f t="shared" ca="1" si="35"/>
        <v>0</v>
      </c>
      <c r="K34" s="108">
        <f t="shared" ca="1" si="35"/>
        <v>0</v>
      </c>
      <c r="L34" s="108">
        <f t="shared" ca="1" si="35"/>
        <v>0</v>
      </c>
      <c r="M34" s="108">
        <f t="shared" ca="1" si="35"/>
        <v>0</v>
      </c>
      <c r="N34" s="108">
        <f t="shared" ca="1" si="35"/>
        <v>0</v>
      </c>
      <c r="O34" s="108">
        <f t="shared" ca="1" si="35"/>
        <v>0</v>
      </c>
      <c r="P34" s="112">
        <f t="shared" ca="1" si="35"/>
        <v>0</v>
      </c>
      <c r="Q34" s="41"/>
      <c r="R34" s="41"/>
      <c r="S34" s="41"/>
      <c r="T34" s="335" t="s">
        <v>130</v>
      </c>
      <c r="U34" s="336"/>
      <c r="V34" s="111" t="s">
        <v>129</v>
      </c>
      <c r="W34" s="108">
        <f t="shared" ref="W34:AG34" ca="1" si="36">IFERROR((BY11-BX11)/BX11,0)</f>
        <v>0</v>
      </c>
      <c r="X34" s="108">
        <f t="shared" ca="1" si="36"/>
        <v>0</v>
      </c>
      <c r="Y34" s="108">
        <f t="shared" ca="1" si="36"/>
        <v>0</v>
      </c>
      <c r="Z34" s="108">
        <f t="shared" ca="1" si="36"/>
        <v>0</v>
      </c>
      <c r="AA34" s="108">
        <f t="shared" ca="1" si="36"/>
        <v>0</v>
      </c>
      <c r="AB34" s="108">
        <f t="shared" ca="1" si="36"/>
        <v>0</v>
      </c>
      <c r="AC34" s="108">
        <f t="shared" ca="1" si="36"/>
        <v>0</v>
      </c>
      <c r="AD34" s="108">
        <f t="shared" ca="1" si="36"/>
        <v>0</v>
      </c>
      <c r="AE34" s="108">
        <f t="shared" ca="1" si="36"/>
        <v>0</v>
      </c>
      <c r="AF34" s="108">
        <f t="shared" ca="1" si="36"/>
        <v>0</v>
      </c>
      <c r="AG34" s="112">
        <f t="shared" ca="1" si="36"/>
        <v>0</v>
      </c>
      <c r="AH34" s="41"/>
      <c r="AI34" s="41"/>
      <c r="AJ34" s="41"/>
      <c r="AK34" s="335" t="s">
        <v>130</v>
      </c>
      <c r="AL34" s="336"/>
      <c r="AM34" s="111" t="s">
        <v>129</v>
      </c>
      <c r="AN34" s="108">
        <f t="shared" ref="AN34:AX34" ca="1" si="37">IFERROR((BY4-BX4)/BX4,0)</f>
        <v>0</v>
      </c>
      <c r="AO34" s="108">
        <f t="shared" ca="1" si="37"/>
        <v>0</v>
      </c>
      <c r="AP34" s="108">
        <f t="shared" ca="1" si="37"/>
        <v>0</v>
      </c>
      <c r="AQ34" s="108">
        <f t="shared" ca="1" si="37"/>
        <v>0</v>
      </c>
      <c r="AR34" s="108">
        <f t="shared" ca="1" si="37"/>
        <v>0</v>
      </c>
      <c r="AS34" s="108">
        <f t="shared" ca="1" si="37"/>
        <v>0</v>
      </c>
      <c r="AT34" s="108">
        <f t="shared" ca="1" si="37"/>
        <v>0</v>
      </c>
      <c r="AU34" s="108">
        <f t="shared" ca="1" si="37"/>
        <v>0</v>
      </c>
      <c r="AV34" s="108">
        <f t="shared" ca="1" si="37"/>
        <v>0</v>
      </c>
      <c r="AW34" s="108">
        <f t="shared" ca="1" si="37"/>
        <v>0</v>
      </c>
      <c r="AX34" s="112">
        <f t="shared" ca="1" si="37"/>
        <v>0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50" t="s">
        <v>19</v>
      </c>
      <c r="BX34" s="53" t="e">
        <f t="shared" ref="BX34:CI34" ca="1" si="38">IF(BX$22=$CJ$1,BX14,NA())</f>
        <v>#N/A</v>
      </c>
      <c r="BY34" s="53" t="e">
        <f t="shared" si="38"/>
        <v>#N/A</v>
      </c>
      <c r="BZ34" s="53" t="e">
        <f t="shared" si="38"/>
        <v>#N/A</v>
      </c>
      <c r="CA34" s="53" t="e">
        <f t="shared" si="38"/>
        <v>#N/A</v>
      </c>
      <c r="CB34" s="53" t="e">
        <f t="shared" si="38"/>
        <v>#N/A</v>
      </c>
      <c r="CC34" s="53" t="e">
        <f t="shared" si="38"/>
        <v>#N/A</v>
      </c>
      <c r="CD34" s="53" t="e">
        <f t="shared" si="38"/>
        <v>#N/A</v>
      </c>
      <c r="CE34" s="53" t="e">
        <f t="shared" si="38"/>
        <v>#N/A</v>
      </c>
      <c r="CF34" s="53" t="e">
        <f t="shared" si="38"/>
        <v>#N/A</v>
      </c>
      <c r="CG34" s="53" t="e">
        <f t="shared" si="38"/>
        <v>#N/A</v>
      </c>
      <c r="CH34" s="53" t="e">
        <f t="shared" si="38"/>
        <v>#N/A</v>
      </c>
      <c r="CI34" s="53" t="e">
        <f t="shared" si="38"/>
        <v>#N/A</v>
      </c>
    </row>
    <row r="35" spans="2:87" ht="40.5" customHeight="1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50" t="s">
        <v>20</v>
      </c>
      <c r="BX35" s="53" t="e">
        <f t="shared" ref="BX35:CI35" ca="1" si="39">IF(BX$22=$CJ$1,BX15,NA())</f>
        <v>#N/A</v>
      </c>
      <c r="BY35" s="53" t="e">
        <f t="shared" si="39"/>
        <v>#N/A</v>
      </c>
      <c r="BZ35" s="53" t="e">
        <f t="shared" si="39"/>
        <v>#N/A</v>
      </c>
      <c r="CA35" s="53" t="e">
        <f t="shared" si="39"/>
        <v>#N/A</v>
      </c>
      <c r="CB35" s="53" t="e">
        <f t="shared" si="39"/>
        <v>#N/A</v>
      </c>
      <c r="CC35" s="53" t="e">
        <f t="shared" si="39"/>
        <v>#N/A</v>
      </c>
      <c r="CD35" s="53" t="e">
        <f t="shared" si="39"/>
        <v>#N/A</v>
      </c>
      <c r="CE35" s="53" t="e">
        <f t="shared" si="39"/>
        <v>#N/A</v>
      </c>
      <c r="CF35" s="53" t="e">
        <f t="shared" si="39"/>
        <v>#N/A</v>
      </c>
      <c r="CG35" s="53" t="e">
        <f t="shared" si="39"/>
        <v>#N/A</v>
      </c>
      <c r="CH35" s="53" t="e">
        <f t="shared" si="39"/>
        <v>#N/A</v>
      </c>
      <c r="CI35" s="53" t="e">
        <f t="shared" si="39"/>
        <v>#N/A</v>
      </c>
    </row>
    <row r="36" spans="2:87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50" t="s">
        <v>22</v>
      </c>
      <c r="BX36" s="53" t="e">
        <f t="shared" ref="BX36:CI36" ca="1" si="40">IF(BX$22=$CJ$1,BX16,NA())</f>
        <v>#N/A</v>
      </c>
      <c r="BY36" s="53" t="e">
        <f t="shared" si="40"/>
        <v>#N/A</v>
      </c>
      <c r="BZ36" s="53" t="e">
        <f t="shared" si="40"/>
        <v>#N/A</v>
      </c>
      <c r="CA36" s="53" t="e">
        <f t="shared" si="40"/>
        <v>#N/A</v>
      </c>
      <c r="CB36" s="53" t="e">
        <f t="shared" si="40"/>
        <v>#N/A</v>
      </c>
      <c r="CC36" s="53" t="e">
        <f t="shared" si="40"/>
        <v>#N/A</v>
      </c>
      <c r="CD36" s="53" t="e">
        <f t="shared" si="40"/>
        <v>#N/A</v>
      </c>
      <c r="CE36" s="53" t="e">
        <f t="shared" si="40"/>
        <v>#N/A</v>
      </c>
      <c r="CF36" s="53" t="e">
        <f t="shared" si="40"/>
        <v>#N/A</v>
      </c>
      <c r="CG36" s="53" t="e">
        <f t="shared" si="40"/>
        <v>#N/A</v>
      </c>
      <c r="CH36" s="53" t="e">
        <f t="shared" si="40"/>
        <v>#N/A</v>
      </c>
      <c r="CI36" s="53" t="e">
        <f t="shared" si="40"/>
        <v>#N/A</v>
      </c>
    </row>
    <row r="37" spans="2:87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50" t="s">
        <v>21</v>
      </c>
      <c r="BX37" s="51" t="e">
        <f t="shared" ref="BX37:CI37" ca="1" si="41">IF(BX$22=$CJ$1,BX17,NA())</f>
        <v>#N/A</v>
      </c>
      <c r="BY37" s="51" t="e">
        <f t="shared" si="41"/>
        <v>#N/A</v>
      </c>
      <c r="BZ37" s="51" t="e">
        <f t="shared" si="41"/>
        <v>#N/A</v>
      </c>
      <c r="CA37" s="51" t="e">
        <f t="shared" si="41"/>
        <v>#N/A</v>
      </c>
      <c r="CB37" s="51" t="e">
        <f t="shared" si="41"/>
        <v>#N/A</v>
      </c>
      <c r="CC37" s="51" t="e">
        <f t="shared" si="41"/>
        <v>#N/A</v>
      </c>
      <c r="CD37" s="51" t="e">
        <f t="shared" si="41"/>
        <v>#N/A</v>
      </c>
      <c r="CE37" s="51" t="e">
        <f t="shared" si="41"/>
        <v>#N/A</v>
      </c>
      <c r="CF37" s="51" t="e">
        <f t="shared" si="41"/>
        <v>#N/A</v>
      </c>
      <c r="CG37" s="51" t="e">
        <f t="shared" si="41"/>
        <v>#N/A</v>
      </c>
      <c r="CH37" s="51" t="e">
        <f t="shared" si="41"/>
        <v>#N/A</v>
      </c>
      <c r="CI37" s="51" t="e">
        <f t="shared" si="41"/>
        <v>#N/A</v>
      </c>
    </row>
    <row r="38" spans="2:87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50" t="s">
        <v>23</v>
      </c>
      <c r="BX38" s="53" t="e">
        <f t="shared" ref="BX38:CI38" ca="1" si="42">IF(BX$22=$CJ$1,BX18,NA())</f>
        <v>#N/A</v>
      </c>
      <c r="BY38" s="53" t="e">
        <f t="shared" si="42"/>
        <v>#N/A</v>
      </c>
      <c r="BZ38" s="53" t="e">
        <f t="shared" si="42"/>
        <v>#N/A</v>
      </c>
      <c r="CA38" s="53" t="e">
        <f t="shared" si="42"/>
        <v>#N/A</v>
      </c>
      <c r="CB38" s="53" t="e">
        <f t="shared" si="42"/>
        <v>#N/A</v>
      </c>
      <c r="CC38" s="53" t="e">
        <f t="shared" si="42"/>
        <v>#N/A</v>
      </c>
      <c r="CD38" s="53" t="e">
        <f t="shared" si="42"/>
        <v>#N/A</v>
      </c>
      <c r="CE38" s="53" t="e">
        <f t="shared" si="42"/>
        <v>#N/A</v>
      </c>
      <c r="CF38" s="53" t="e">
        <f t="shared" si="42"/>
        <v>#N/A</v>
      </c>
      <c r="CG38" s="53" t="e">
        <f t="shared" si="42"/>
        <v>#N/A</v>
      </c>
      <c r="CH38" s="53" t="e">
        <f t="shared" si="42"/>
        <v>#N/A</v>
      </c>
      <c r="CI38" s="53" t="e">
        <f t="shared" si="42"/>
        <v>#N/A</v>
      </c>
    </row>
    <row r="39" spans="2:87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50" t="s">
        <v>24</v>
      </c>
      <c r="BX39" s="53" t="e">
        <f t="shared" ref="BX39:CI39" ca="1" si="43">IF(BX$22=$CJ$1,BX19,NA())</f>
        <v>#N/A</v>
      </c>
      <c r="BY39" s="53" t="e">
        <f t="shared" si="43"/>
        <v>#N/A</v>
      </c>
      <c r="BZ39" s="53" t="e">
        <f t="shared" si="43"/>
        <v>#N/A</v>
      </c>
      <c r="CA39" s="53" t="e">
        <f t="shared" si="43"/>
        <v>#N/A</v>
      </c>
      <c r="CB39" s="53" t="e">
        <f t="shared" si="43"/>
        <v>#N/A</v>
      </c>
      <c r="CC39" s="53" t="e">
        <f t="shared" si="43"/>
        <v>#N/A</v>
      </c>
      <c r="CD39" s="53" t="e">
        <f t="shared" si="43"/>
        <v>#N/A</v>
      </c>
      <c r="CE39" s="53" t="e">
        <f t="shared" si="43"/>
        <v>#N/A</v>
      </c>
      <c r="CF39" s="53" t="e">
        <f t="shared" si="43"/>
        <v>#N/A</v>
      </c>
      <c r="CG39" s="53" t="e">
        <f t="shared" si="43"/>
        <v>#N/A</v>
      </c>
      <c r="CH39" s="53" t="e">
        <f t="shared" si="43"/>
        <v>#N/A</v>
      </c>
      <c r="CI39" s="53" t="e">
        <f t="shared" si="43"/>
        <v>#N/A</v>
      </c>
    </row>
    <row r="40" spans="2:87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5" t="s">
        <v>133</v>
      </c>
      <c r="BX40" s="48" t="e">
        <f t="shared" ref="BX40:CI40" ca="1" si="44">IF($DD$28,BX8,NA())</f>
        <v>#N/A</v>
      </c>
      <c r="BY40" s="48" t="e">
        <f t="shared" ca="1" si="44"/>
        <v>#N/A</v>
      </c>
      <c r="BZ40" s="48" t="e">
        <f t="shared" ca="1" si="44"/>
        <v>#N/A</v>
      </c>
      <c r="CA40" s="48" t="e">
        <f t="shared" ca="1" si="44"/>
        <v>#N/A</v>
      </c>
      <c r="CB40" s="48" t="e">
        <f t="shared" ca="1" si="44"/>
        <v>#N/A</v>
      </c>
      <c r="CC40" s="48" t="e">
        <f t="shared" ca="1" si="44"/>
        <v>#N/A</v>
      </c>
      <c r="CD40" s="48" t="e">
        <f t="shared" ca="1" si="44"/>
        <v>#N/A</v>
      </c>
      <c r="CE40" s="48" t="e">
        <f t="shared" ca="1" si="44"/>
        <v>#N/A</v>
      </c>
      <c r="CF40" s="48" t="e">
        <f t="shared" ca="1" si="44"/>
        <v>#N/A</v>
      </c>
      <c r="CG40" s="48" t="e">
        <f t="shared" ca="1" si="44"/>
        <v>#N/A</v>
      </c>
      <c r="CH40" s="48" t="e">
        <f t="shared" ca="1" si="44"/>
        <v>#N/A</v>
      </c>
      <c r="CI40" s="48" t="e">
        <f t="shared" ca="1" si="44"/>
        <v>#N/A</v>
      </c>
    </row>
    <row r="41" spans="2:87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5" t="s">
        <v>134</v>
      </c>
      <c r="BX41" s="48" t="e">
        <f t="shared" ref="BX41:CI41" ca="1" si="45">IF($DD$29,BX9,NA())</f>
        <v>#N/A</v>
      </c>
      <c r="BY41" s="48" t="e">
        <f t="shared" ca="1" si="45"/>
        <v>#N/A</v>
      </c>
      <c r="BZ41" s="48" t="e">
        <f t="shared" ca="1" si="45"/>
        <v>#N/A</v>
      </c>
      <c r="CA41" s="48" t="e">
        <f t="shared" ca="1" si="45"/>
        <v>#N/A</v>
      </c>
      <c r="CB41" s="48" t="e">
        <f t="shared" ca="1" si="45"/>
        <v>#N/A</v>
      </c>
      <c r="CC41" s="48" t="e">
        <f t="shared" ca="1" si="45"/>
        <v>#N/A</v>
      </c>
      <c r="CD41" s="48" t="e">
        <f t="shared" ca="1" si="45"/>
        <v>#N/A</v>
      </c>
      <c r="CE41" s="48" t="e">
        <f t="shared" ca="1" si="45"/>
        <v>#N/A</v>
      </c>
      <c r="CF41" s="48" t="e">
        <f t="shared" ca="1" si="45"/>
        <v>#N/A</v>
      </c>
      <c r="CG41" s="48" t="e">
        <f t="shared" ca="1" si="45"/>
        <v>#N/A</v>
      </c>
      <c r="CH41" s="48" t="e">
        <f t="shared" ca="1" si="45"/>
        <v>#N/A</v>
      </c>
      <c r="CI41" s="48" t="e">
        <f t="shared" ca="1" si="45"/>
        <v>#N/A</v>
      </c>
    </row>
    <row r="42" spans="2:87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</row>
    <row r="43" spans="2:87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</row>
    <row r="44" spans="2:87" x14ac:dyDescent="0.25">
      <c r="B44" s="41"/>
      <c r="C44" s="335" t="s">
        <v>128</v>
      </c>
      <c r="D44" s="336"/>
      <c r="E44" s="109" t="e">
        <f t="shared" ref="E44:P44" ca="1" si="46">IF(ABS(BX7)&gt;=1000,ROUND(BX7/1000,1)&amp;"т. р.",BX7)</f>
        <v>#N/A</v>
      </c>
      <c r="F44" s="107" t="e">
        <f t="shared" ca="1" si="46"/>
        <v>#N/A</v>
      </c>
      <c r="G44" s="107" t="e">
        <f t="shared" ca="1" si="46"/>
        <v>#N/A</v>
      </c>
      <c r="H44" s="107" t="e">
        <f t="shared" ca="1" si="46"/>
        <v>#N/A</v>
      </c>
      <c r="I44" s="107" t="e">
        <f t="shared" ca="1" si="46"/>
        <v>#N/A</v>
      </c>
      <c r="J44" s="107" t="e">
        <f t="shared" ca="1" si="46"/>
        <v>#N/A</v>
      </c>
      <c r="K44" s="107" t="e">
        <f t="shared" ca="1" si="46"/>
        <v>#N/A</v>
      </c>
      <c r="L44" s="107" t="e">
        <f t="shared" ca="1" si="46"/>
        <v>#N/A</v>
      </c>
      <c r="M44" s="107" t="e">
        <f t="shared" ca="1" si="46"/>
        <v>#N/A</v>
      </c>
      <c r="N44" s="107" t="e">
        <f t="shared" ca="1" si="46"/>
        <v>#N/A</v>
      </c>
      <c r="O44" s="107" t="e">
        <f t="shared" ca="1" si="46"/>
        <v>#N/A</v>
      </c>
      <c r="P44" s="110" t="e">
        <f t="shared" ca="1" si="46"/>
        <v>#N/A</v>
      </c>
      <c r="Q44" s="41"/>
      <c r="R44" s="41"/>
      <c r="S44" s="41"/>
      <c r="T44" s="335" t="s">
        <v>128</v>
      </c>
      <c r="U44" s="336"/>
      <c r="V44" s="113" t="e">
        <f t="shared" ref="V44:AG44" ca="1" si="47">IF(ABS(BX12)&gt;=1000,ROUND(BX12/1000,1)&amp;"k",BX12)</f>
        <v>#N/A</v>
      </c>
      <c r="W44" s="114" t="e">
        <f t="shared" ca="1" si="47"/>
        <v>#N/A</v>
      </c>
      <c r="X44" s="114" t="e">
        <f t="shared" ca="1" si="47"/>
        <v>#N/A</v>
      </c>
      <c r="Y44" s="114" t="e">
        <f t="shared" ca="1" si="47"/>
        <v>#N/A</v>
      </c>
      <c r="Z44" s="114" t="e">
        <f t="shared" ca="1" si="47"/>
        <v>#N/A</v>
      </c>
      <c r="AA44" s="114" t="e">
        <f t="shared" ca="1" si="47"/>
        <v>#N/A</v>
      </c>
      <c r="AB44" s="114" t="e">
        <f t="shared" ca="1" si="47"/>
        <v>#N/A</v>
      </c>
      <c r="AC44" s="114" t="e">
        <f t="shared" ca="1" si="47"/>
        <v>#N/A</v>
      </c>
      <c r="AD44" s="114" t="e">
        <f t="shared" ca="1" si="47"/>
        <v>#N/A</v>
      </c>
      <c r="AE44" s="114" t="e">
        <f t="shared" ca="1" si="47"/>
        <v>#N/A</v>
      </c>
      <c r="AF44" s="114" t="e">
        <f t="shared" ca="1" si="47"/>
        <v>#N/A</v>
      </c>
      <c r="AG44" s="115" t="e">
        <f t="shared" ca="1" si="47"/>
        <v>#N/A</v>
      </c>
      <c r="AH44" s="41"/>
      <c r="AI44" s="41"/>
      <c r="AJ44" s="41"/>
      <c r="AK44" s="335" t="s">
        <v>128</v>
      </c>
      <c r="AL44" s="336"/>
      <c r="AM44" s="117" t="e">
        <f t="shared" ref="AM44:AX44" ca="1" si="48">IF(ABS(BX5)&gt;=1000,ROUND(BX5/1000,1)&amp;"k",BX5)</f>
        <v>#N/A</v>
      </c>
      <c r="AN44" s="118" t="e">
        <f t="shared" ca="1" si="48"/>
        <v>#N/A</v>
      </c>
      <c r="AO44" s="118" t="e">
        <f t="shared" ca="1" si="48"/>
        <v>#N/A</v>
      </c>
      <c r="AP44" s="118" t="e">
        <f t="shared" ca="1" si="48"/>
        <v>#N/A</v>
      </c>
      <c r="AQ44" s="118" t="e">
        <f t="shared" ca="1" si="48"/>
        <v>#N/A</v>
      </c>
      <c r="AR44" s="118" t="e">
        <f t="shared" ca="1" si="48"/>
        <v>#N/A</v>
      </c>
      <c r="AS44" s="118" t="e">
        <f t="shared" ca="1" si="48"/>
        <v>#N/A</v>
      </c>
      <c r="AT44" s="118" t="e">
        <f t="shared" ca="1" si="48"/>
        <v>#N/A</v>
      </c>
      <c r="AU44" s="118" t="e">
        <f t="shared" ca="1" si="48"/>
        <v>#N/A</v>
      </c>
      <c r="AV44" s="118" t="e">
        <f t="shared" ca="1" si="48"/>
        <v>#N/A</v>
      </c>
      <c r="AW44" s="118" t="e">
        <f t="shared" ca="1" si="48"/>
        <v>#N/A</v>
      </c>
      <c r="AX44" s="119" t="e">
        <f t="shared" ca="1" si="48"/>
        <v>#N/A</v>
      </c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</row>
    <row r="45" spans="2:87" x14ac:dyDescent="0.25">
      <c r="B45" s="41"/>
      <c r="C45" s="335" t="s">
        <v>130</v>
      </c>
      <c r="D45" s="336"/>
      <c r="E45" s="111" t="s">
        <v>129</v>
      </c>
      <c r="F45" s="108">
        <f t="shared" ref="F45:P45" ca="1" si="49">IFERROR((BY7-BX7)/BX7,0)</f>
        <v>0</v>
      </c>
      <c r="G45" s="108">
        <f t="shared" ca="1" si="49"/>
        <v>0</v>
      </c>
      <c r="H45" s="108">
        <f t="shared" ca="1" si="49"/>
        <v>0</v>
      </c>
      <c r="I45" s="108">
        <f t="shared" ca="1" si="49"/>
        <v>0</v>
      </c>
      <c r="J45" s="108">
        <f t="shared" ca="1" si="49"/>
        <v>0</v>
      </c>
      <c r="K45" s="108">
        <f t="shared" ca="1" si="49"/>
        <v>0</v>
      </c>
      <c r="L45" s="108">
        <f t="shared" ca="1" si="49"/>
        <v>0</v>
      </c>
      <c r="M45" s="108">
        <f t="shared" ca="1" si="49"/>
        <v>0</v>
      </c>
      <c r="N45" s="108">
        <f t="shared" ca="1" si="49"/>
        <v>0</v>
      </c>
      <c r="O45" s="108">
        <f t="shared" ca="1" si="49"/>
        <v>0</v>
      </c>
      <c r="P45" s="112">
        <f t="shared" ca="1" si="49"/>
        <v>0</v>
      </c>
      <c r="Q45" s="41"/>
      <c r="R45" s="41"/>
      <c r="S45" s="41"/>
      <c r="T45" s="335" t="s">
        <v>130</v>
      </c>
      <c r="U45" s="336"/>
      <c r="V45" s="111" t="s">
        <v>129</v>
      </c>
      <c r="W45" s="108">
        <f t="shared" ref="W45:AG45" ca="1" si="50">IFERROR((BY12-BX12)/BX12,0)</f>
        <v>0</v>
      </c>
      <c r="X45" s="108">
        <f t="shared" ca="1" si="50"/>
        <v>0</v>
      </c>
      <c r="Y45" s="108">
        <f t="shared" ca="1" si="50"/>
        <v>0</v>
      </c>
      <c r="Z45" s="108">
        <f t="shared" ca="1" si="50"/>
        <v>0</v>
      </c>
      <c r="AA45" s="108">
        <f t="shared" ca="1" si="50"/>
        <v>0</v>
      </c>
      <c r="AB45" s="108">
        <f t="shared" ca="1" si="50"/>
        <v>0</v>
      </c>
      <c r="AC45" s="108">
        <f t="shared" ca="1" si="50"/>
        <v>0</v>
      </c>
      <c r="AD45" s="108">
        <f t="shared" ca="1" si="50"/>
        <v>0</v>
      </c>
      <c r="AE45" s="108">
        <f t="shared" ca="1" si="50"/>
        <v>0</v>
      </c>
      <c r="AF45" s="108">
        <f t="shared" ca="1" si="50"/>
        <v>0</v>
      </c>
      <c r="AG45" s="112">
        <f t="shared" ca="1" si="50"/>
        <v>0</v>
      </c>
      <c r="AH45" s="41"/>
      <c r="AI45" s="41"/>
      <c r="AJ45" s="41"/>
      <c r="AK45" s="335" t="s">
        <v>130</v>
      </c>
      <c r="AL45" s="336"/>
      <c r="AM45" s="111" t="s">
        <v>129</v>
      </c>
      <c r="AN45" s="108">
        <f t="shared" ref="AN45:AX45" ca="1" si="51">IFERROR((BY5-BX5)/BX5,0)</f>
        <v>0</v>
      </c>
      <c r="AO45" s="108">
        <f t="shared" ca="1" si="51"/>
        <v>0</v>
      </c>
      <c r="AP45" s="108">
        <f t="shared" ca="1" si="51"/>
        <v>0</v>
      </c>
      <c r="AQ45" s="108">
        <f t="shared" ca="1" si="51"/>
        <v>0</v>
      </c>
      <c r="AR45" s="108">
        <f t="shared" ca="1" si="51"/>
        <v>0</v>
      </c>
      <c r="AS45" s="108">
        <f t="shared" ca="1" si="51"/>
        <v>0</v>
      </c>
      <c r="AT45" s="108">
        <f t="shared" ca="1" si="51"/>
        <v>0</v>
      </c>
      <c r="AU45" s="108">
        <f t="shared" ca="1" si="51"/>
        <v>0</v>
      </c>
      <c r="AV45" s="108">
        <f t="shared" ca="1" si="51"/>
        <v>0</v>
      </c>
      <c r="AW45" s="108">
        <f t="shared" ca="1" si="51"/>
        <v>0</v>
      </c>
      <c r="AX45" s="112">
        <f t="shared" ca="1" si="51"/>
        <v>0</v>
      </c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</row>
    <row r="46" spans="2:87" ht="33.75" customHeight="1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</row>
    <row r="47" spans="2:87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</row>
    <row r="48" spans="2:87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</row>
    <row r="49" spans="2:74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</row>
    <row r="50" spans="2:74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</row>
    <row r="51" spans="2:74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</row>
    <row r="52" spans="2:74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</row>
    <row r="53" spans="2:74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</row>
    <row r="54" spans="2:74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</row>
    <row r="55" spans="2:74" x14ac:dyDescent="0.25">
      <c r="B55" s="41"/>
      <c r="C55" s="335" t="s">
        <v>133</v>
      </c>
      <c r="D55" s="336"/>
      <c r="E55" s="109" t="e">
        <f t="shared" ref="E55:P55" ca="1" si="52">IF(ABS(BX8)&gt;=1000,ROUND(BX8/1000,1)&amp;"т. р.",BX8)</f>
        <v>#N/A</v>
      </c>
      <c r="F55" s="107" t="e">
        <f t="shared" ca="1" si="52"/>
        <v>#N/A</v>
      </c>
      <c r="G55" s="107" t="e">
        <f t="shared" ca="1" si="52"/>
        <v>#N/A</v>
      </c>
      <c r="H55" s="107" t="e">
        <f t="shared" ca="1" si="52"/>
        <v>#N/A</v>
      </c>
      <c r="I55" s="107" t="e">
        <f t="shared" ca="1" si="52"/>
        <v>#N/A</v>
      </c>
      <c r="J55" s="107" t="e">
        <f t="shared" ca="1" si="52"/>
        <v>#N/A</v>
      </c>
      <c r="K55" s="107" t="e">
        <f t="shared" ca="1" si="52"/>
        <v>#N/A</v>
      </c>
      <c r="L55" s="107" t="e">
        <f t="shared" ca="1" si="52"/>
        <v>#N/A</v>
      </c>
      <c r="M55" s="107" t="e">
        <f t="shared" ca="1" si="52"/>
        <v>#N/A</v>
      </c>
      <c r="N55" s="107" t="e">
        <f t="shared" ca="1" si="52"/>
        <v>#N/A</v>
      </c>
      <c r="O55" s="107" t="e">
        <f t="shared" ca="1" si="52"/>
        <v>#N/A</v>
      </c>
      <c r="P55" s="110" t="e">
        <f t="shared" ca="1" si="52"/>
        <v>#N/A</v>
      </c>
      <c r="Q55" s="41"/>
      <c r="R55" s="41"/>
      <c r="S55" s="41"/>
      <c r="T55" s="335" t="s">
        <v>128</v>
      </c>
      <c r="U55" s="336"/>
      <c r="V55" s="120" t="e">
        <f t="shared" ref="V55:AG55" ca="1" si="53">BX17</f>
        <v>#N/A</v>
      </c>
      <c r="W55" s="108" t="e">
        <f t="shared" ca="1" si="53"/>
        <v>#N/A</v>
      </c>
      <c r="X55" s="108" t="e">
        <f t="shared" ca="1" si="53"/>
        <v>#N/A</v>
      </c>
      <c r="Y55" s="108" t="e">
        <f t="shared" ca="1" si="53"/>
        <v>#N/A</v>
      </c>
      <c r="Z55" s="108" t="e">
        <f t="shared" ca="1" si="53"/>
        <v>#N/A</v>
      </c>
      <c r="AA55" s="108" t="e">
        <f t="shared" ca="1" si="53"/>
        <v>#N/A</v>
      </c>
      <c r="AB55" s="108" t="e">
        <f t="shared" ca="1" si="53"/>
        <v>#N/A</v>
      </c>
      <c r="AC55" s="108" t="e">
        <f t="shared" ca="1" si="53"/>
        <v>#N/A</v>
      </c>
      <c r="AD55" s="108" t="e">
        <f t="shared" ca="1" si="53"/>
        <v>#N/A</v>
      </c>
      <c r="AE55" s="108" t="e">
        <f t="shared" ca="1" si="53"/>
        <v>#N/A</v>
      </c>
      <c r="AF55" s="108" t="e">
        <f t="shared" ca="1" si="53"/>
        <v>#N/A</v>
      </c>
      <c r="AG55" s="112" t="e">
        <f t="shared" ca="1" si="53"/>
        <v>#N/A</v>
      </c>
      <c r="AH55" s="41"/>
      <c r="AI55" s="41"/>
      <c r="AJ55" s="41"/>
      <c r="AK55" s="335" t="s">
        <v>128</v>
      </c>
      <c r="AL55" s="336"/>
      <c r="AM55" s="117" t="e">
        <f t="shared" ref="AM55:AX55" ca="1" si="54">IF(ABS(BX6)&gt;=1000,ROUND(BX6/1000,1)&amp;"k",BX6)</f>
        <v>#N/A</v>
      </c>
      <c r="AN55" s="118" t="e">
        <f t="shared" ca="1" si="54"/>
        <v>#N/A</v>
      </c>
      <c r="AO55" s="118" t="e">
        <f t="shared" ca="1" si="54"/>
        <v>#N/A</v>
      </c>
      <c r="AP55" s="118" t="e">
        <f t="shared" ca="1" si="54"/>
        <v>#N/A</v>
      </c>
      <c r="AQ55" s="118" t="e">
        <f t="shared" ca="1" si="54"/>
        <v>#N/A</v>
      </c>
      <c r="AR55" s="118" t="e">
        <f t="shared" ca="1" si="54"/>
        <v>#N/A</v>
      </c>
      <c r="AS55" s="118" t="e">
        <f t="shared" ca="1" si="54"/>
        <v>#N/A</v>
      </c>
      <c r="AT55" s="118" t="e">
        <f t="shared" ca="1" si="54"/>
        <v>#N/A</v>
      </c>
      <c r="AU55" s="118" t="e">
        <f t="shared" ca="1" si="54"/>
        <v>#N/A</v>
      </c>
      <c r="AV55" s="118" t="e">
        <f t="shared" ca="1" si="54"/>
        <v>#N/A</v>
      </c>
      <c r="AW55" s="118" t="e">
        <f t="shared" ca="1" si="54"/>
        <v>#N/A</v>
      </c>
      <c r="AX55" s="119" t="e">
        <f t="shared" ca="1" si="54"/>
        <v>#N/A</v>
      </c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</row>
    <row r="56" spans="2:74" x14ac:dyDescent="0.25">
      <c r="B56" s="41"/>
      <c r="C56" s="335" t="s">
        <v>130</v>
      </c>
      <c r="D56" s="336"/>
      <c r="E56" s="111" t="s">
        <v>129</v>
      </c>
      <c r="F56" s="108">
        <f t="shared" ref="F56:P56" ca="1" si="55">IFERROR((BY8-BX8)/BX8,0)</f>
        <v>0</v>
      </c>
      <c r="G56" s="108">
        <f t="shared" ca="1" si="55"/>
        <v>0</v>
      </c>
      <c r="H56" s="108">
        <f t="shared" ca="1" si="55"/>
        <v>0</v>
      </c>
      <c r="I56" s="108">
        <f t="shared" ca="1" si="55"/>
        <v>0</v>
      </c>
      <c r="J56" s="108">
        <f t="shared" ca="1" si="55"/>
        <v>0</v>
      </c>
      <c r="K56" s="108">
        <f t="shared" ca="1" si="55"/>
        <v>0</v>
      </c>
      <c r="L56" s="108">
        <f t="shared" ca="1" si="55"/>
        <v>0</v>
      </c>
      <c r="M56" s="108">
        <f t="shared" ca="1" si="55"/>
        <v>0</v>
      </c>
      <c r="N56" s="108">
        <f t="shared" ca="1" si="55"/>
        <v>0</v>
      </c>
      <c r="O56" s="108">
        <f t="shared" ca="1" si="55"/>
        <v>0</v>
      </c>
      <c r="P56" s="112">
        <f t="shared" ca="1" si="55"/>
        <v>0</v>
      </c>
      <c r="Q56" s="41"/>
      <c r="R56" s="41"/>
      <c r="S56" s="41"/>
      <c r="T56" s="335" t="s">
        <v>130</v>
      </c>
      <c r="U56" s="336"/>
      <c r="V56" s="111" t="s">
        <v>129</v>
      </c>
      <c r="W56" s="108">
        <f t="shared" ref="W56:AG56" ca="1" si="56">IFERROR((BY17-BX17)/BX17,0)</f>
        <v>0</v>
      </c>
      <c r="X56" s="108">
        <f t="shared" ca="1" si="56"/>
        <v>0</v>
      </c>
      <c r="Y56" s="108">
        <f t="shared" ca="1" si="56"/>
        <v>0</v>
      </c>
      <c r="Z56" s="108">
        <f t="shared" ca="1" si="56"/>
        <v>0</v>
      </c>
      <c r="AA56" s="108">
        <f t="shared" ca="1" si="56"/>
        <v>0</v>
      </c>
      <c r="AB56" s="108">
        <f t="shared" ca="1" si="56"/>
        <v>0</v>
      </c>
      <c r="AC56" s="108">
        <f t="shared" ca="1" si="56"/>
        <v>0</v>
      </c>
      <c r="AD56" s="108">
        <f t="shared" ca="1" si="56"/>
        <v>0</v>
      </c>
      <c r="AE56" s="108">
        <f t="shared" ca="1" si="56"/>
        <v>0</v>
      </c>
      <c r="AF56" s="108">
        <f t="shared" ca="1" si="56"/>
        <v>0</v>
      </c>
      <c r="AG56" s="112">
        <f t="shared" ca="1" si="56"/>
        <v>0</v>
      </c>
      <c r="AH56" s="41"/>
      <c r="AI56" s="41"/>
      <c r="AJ56" s="41"/>
      <c r="AK56" s="335" t="s">
        <v>130</v>
      </c>
      <c r="AL56" s="336"/>
      <c r="AM56" s="111" t="s">
        <v>129</v>
      </c>
      <c r="AN56" s="108">
        <f t="shared" ref="AN56:AX56" ca="1" si="57">IFERROR((BY6-BX6)/BX6,0)</f>
        <v>0</v>
      </c>
      <c r="AO56" s="108">
        <f t="shared" ca="1" si="57"/>
        <v>0</v>
      </c>
      <c r="AP56" s="108">
        <f t="shared" ca="1" si="57"/>
        <v>0</v>
      </c>
      <c r="AQ56" s="108">
        <f t="shared" ca="1" si="57"/>
        <v>0</v>
      </c>
      <c r="AR56" s="108">
        <f t="shared" ca="1" si="57"/>
        <v>0</v>
      </c>
      <c r="AS56" s="108">
        <f t="shared" ca="1" si="57"/>
        <v>0</v>
      </c>
      <c r="AT56" s="108">
        <f t="shared" ca="1" si="57"/>
        <v>0</v>
      </c>
      <c r="AU56" s="108">
        <f t="shared" ca="1" si="57"/>
        <v>0</v>
      </c>
      <c r="AV56" s="108">
        <f t="shared" ca="1" si="57"/>
        <v>0</v>
      </c>
      <c r="AW56" s="108">
        <f t="shared" ca="1" si="57"/>
        <v>0</v>
      </c>
      <c r="AX56" s="112">
        <f t="shared" ca="1" si="57"/>
        <v>0</v>
      </c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</row>
    <row r="57" spans="2:74" x14ac:dyDescent="0.25">
      <c r="B57" s="335" t="s">
        <v>214</v>
      </c>
      <c r="C57" s="335"/>
      <c r="D57" s="336"/>
      <c r="E57" s="109" t="e">
        <f t="shared" ref="E57:P57" ca="1" si="58">IF(ABS(BX9)&gt;=1000,ROUND(BX9/1000,1)&amp;"т. р.",BX9)</f>
        <v>#N/A</v>
      </c>
      <c r="F57" s="107" t="e">
        <f t="shared" ca="1" si="58"/>
        <v>#N/A</v>
      </c>
      <c r="G57" s="107" t="e">
        <f t="shared" ca="1" si="58"/>
        <v>#N/A</v>
      </c>
      <c r="H57" s="107" t="e">
        <f t="shared" ca="1" si="58"/>
        <v>#N/A</v>
      </c>
      <c r="I57" s="107" t="e">
        <f t="shared" ca="1" si="58"/>
        <v>#N/A</v>
      </c>
      <c r="J57" s="107" t="e">
        <f t="shared" ca="1" si="58"/>
        <v>#N/A</v>
      </c>
      <c r="K57" s="107" t="e">
        <f t="shared" ca="1" si="58"/>
        <v>#N/A</v>
      </c>
      <c r="L57" s="107" t="e">
        <f t="shared" ca="1" si="58"/>
        <v>#N/A</v>
      </c>
      <c r="M57" s="107" t="e">
        <f t="shared" ca="1" si="58"/>
        <v>#N/A</v>
      </c>
      <c r="N57" s="107" t="e">
        <f t="shared" ca="1" si="58"/>
        <v>#N/A</v>
      </c>
      <c r="O57" s="107" t="e">
        <f t="shared" ca="1" si="58"/>
        <v>#N/A</v>
      </c>
      <c r="P57" s="110" t="e">
        <f t="shared" ca="1" si="58"/>
        <v>#N/A</v>
      </c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</row>
    <row r="58" spans="2:74" x14ac:dyDescent="0.25">
      <c r="B58" s="41"/>
      <c r="C58" s="335" t="s">
        <v>130</v>
      </c>
      <c r="D58" s="336"/>
      <c r="E58" s="111" t="s">
        <v>129</v>
      </c>
      <c r="F58" s="108">
        <f t="shared" ref="F58:P58" ca="1" si="59">IFERROR((BY9-BX9)/BX9,0)</f>
        <v>0</v>
      </c>
      <c r="G58" s="108">
        <f t="shared" ca="1" si="59"/>
        <v>0</v>
      </c>
      <c r="H58" s="108">
        <f t="shared" ca="1" si="59"/>
        <v>0</v>
      </c>
      <c r="I58" s="108">
        <f t="shared" ca="1" si="59"/>
        <v>0</v>
      </c>
      <c r="J58" s="108">
        <f t="shared" ca="1" si="59"/>
        <v>0</v>
      </c>
      <c r="K58" s="108">
        <f t="shared" ca="1" si="59"/>
        <v>0</v>
      </c>
      <c r="L58" s="108">
        <f t="shared" ca="1" si="59"/>
        <v>0</v>
      </c>
      <c r="M58" s="108">
        <f t="shared" ca="1" si="59"/>
        <v>0</v>
      </c>
      <c r="N58" s="108">
        <f t="shared" ca="1" si="59"/>
        <v>0</v>
      </c>
      <c r="O58" s="108">
        <f t="shared" ca="1" si="59"/>
        <v>0</v>
      </c>
      <c r="P58" s="112">
        <f t="shared" ca="1" si="59"/>
        <v>0</v>
      </c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</row>
    <row r="59" spans="2:74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</row>
    <row r="60" spans="2:74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</row>
    <row r="61" spans="2:74" hidden="1" x14ac:dyDescent="0.25"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</row>
    <row r="62" spans="2:74" hidden="1" x14ac:dyDescent="0.25"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</row>
    <row r="63" spans="2:74" hidden="1" x14ac:dyDescent="0.25"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</row>
    <row r="64" spans="2:74" hidden="1" x14ac:dyDescent="0.25"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</row>
    <row r="65" spans="61:74" hidden="1" x14ac:dyDescent="0.25"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</row>
    <row r="66" spans="61:74" hidden="1" x14ac:dyDescent="0.25"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</row>
    <row r="67" spans="61:74" hidden="1" x14ac:dyDescent="0.25"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</row>
    <row r="68" spans="61:74" hidden="1" x14ac:dyDescent="0.25"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</row>
    <row r="69" spans="61:74" hidden="1" x14ac:dyDescent="0.25"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</row>
    <row r="70" spans="61:74" hidden="1" x14ac:dyDescent="0.25"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</row>
    <row r="71" spans="61:74" hidden="1" x14ac:dyDescent="0.25"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</row>
    <row r="72" spans="61:74" hidden="1" x14ac:dyDescent="0.25"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</row>
    <row r="73" spans="61:74" hidden="1" x14ac:dyDescent="0.25"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</row>
    <row r="74" spans="61:74" hidden="1" x14ac:dyDescent="0.25"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</row>
    <row r="75" spans="61:74" hidden="1" x14ac:dyDescent="0.25"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</row>
    <row r="76" spans="61:74" hidden="1" x14ac:dyDescent="0.25"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</row>
    <row r="77" spans="61:74" hidden="1" x14ac:dyDescent="0.25"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</row>
    <row r="78" spans="61:74" hidden="1" x14ac:dyDescent="0.25"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</row>
    <row r="79" spans="61:74" hidden="1" x14ac:dyDescent="0.25"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</row>
    <row r="80" spans="61:74" hidden="1" x14ac:dyDescent="0.25"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</row>
    <row r="81" spans="61:74" hidden="1" x14ac:dyDescent="0.25"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</row>
    <row r="82" spans="61:74" hidden="1" x14ac:dyDescent="0.25"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</row>
    <row r="83" spans="61:74" hidden="1" x14ac:dyDescent="0.25"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</row>
    <row r="84" spans="61:74" hidden="1" x14ac:dyDescent="0.25"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</row>
    <row r="85" spans="61:74" hidden="1" x14ac:dyDescent="0.25"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</row>
    <row r="86" spans="61:74" hidden="1" x14ac:dyDescent="0.25"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</row>
    <row r="87" spans="61:74" hidden="1" x14ac:dyDescent="0.25"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</row>
    <row r="88" spans="61:74" hidden="1" x14ac:dyDescent="0.25"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</row>
    <row r="89" spans="61:74" hidden="1" x14ac:dyDescent="0.25"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</row>
    <row r="90" spans="61:74" hidden="1" x14ac:dyDescent="0.25"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</row>
    <row r="91" spans="61:74" hidden="1" x14ac:dyDescent="0.25"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</row>
    <row r="92" spans="61:74" hidden="1" x14ac:dyDescent="0.25"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</row>
    <row r="93" spans="61:74" hidden="1" x14ac:dyDescent="0.25"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</row>
    <row r="94" spans="61:74" hidden="1" x14ac:dyDescent="0.25"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</row>
    <row r="95" spans="61:74" hidden="1" x14ac:dyDescent="0.25"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</row>
    <row r="96" spans="61:74" hidden="1" x14ac:dyDescent="0.25"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</row>
    <row r="97" spans="61:74" hidden="1" x14ac:dyDescent="0.25"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</row>
    <row r="98" spans="61:74" hidden="1" x14ac:dyDescent="0.25"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</row>
    <row r="99" spans="61:74" hidden="1" x14ac:dyDescent="0.25"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61:74" hidden="1" x14ac:dyDescent="0.25"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</row>
    <row r="101" spans="61:74" hidden="1" x14ac:dyDescent="0.25"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</row>
    <row r="102" spans="61:74" hidden="1" x14ac:dyDescent="0.25"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</row>
    <row r="103" spans="61:74" hidden="1" x14ac:dyDescent="0.25"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</row>
    <row r="104" spans="61:74" hidden="1" x14ac:dyDescent="0.25"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</row>
    <row r="105" spans="61:74" hidden="1" x14ac:dyDescent="0.25"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</row>
    <row r="106" spans="61:74" hidden="1" x14ac:dyDescent="0.25"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</row>
  </sheetData>
  <sheetProtection password="EA4E" sheet="1" objects="1" scenarios="1"/>
  <mergeCells count="28">
    <mergeCell ref="D13:AY13"/>
    <mergeCell ref="V2:AA2"/>
    <mergeCell ref="C44:D44"/>
    <mergeCell ref="T55:U55"/>
    <mergeCell ref="AK55:AL55"/>
    <mergeCell ref="AK22:AL22"/>
    <mergeCell ref="AK23:AL23"/>
    <mergeCell ref="AK34:AL34"/>
    <mergeCell ref="T34:U34"/>
    <mergeCell ref="C34:D34"/>
    <mergeCell ref="AK33:AL33"/>
    <mergeCell ref="T33:U33"/>
    <mergeCell ref="C33:D33"/>
    <mergeCell ref="C22:D22"/>
    <mergeCell ref="C23:D23"/>
    <mergeCell ref="AK56:AL56"/>
    <mergeCell ref="C55:D55"/>
    <mergeCell ref="T44:U44"/>
    <mergeCell ref="AK44:AL44"/>
    <mergeCell ref="C56:D56"/>
    <mergeCell ref="T45:U45"/>
    <mergeCell ref="AK45:AL45"/>
    <mergeCell ref="C58:D58"/>
    <mergeCell ref="B57:D57"/>
    <mergeCell ref="T22:U22"/>
    <mergeCell ref="T23:U23"/>
    <mergeCell ref="C45:D45"/>
    <mergeCell ref="T56:U56"/>
  </mergeCells>
  <conditionalFormatting sqref="E23:P23 E34:P34 E45:P45 V56:AG56 AM56:AX56 AM45:AX45 V45:AG45 V34:AG34 AM34:AX34 V23:AG23 AM23:AX23">
    <cfRule type="cellIs" dxfId="45" priority="15" operator="lessThan">
      <formula>0</formula>
    </cfRule>
  </conditionalFormatting>
  <conditionalFormatting sqref="E56:P56">
    <cfRule type="cellIs" dxfId="44" priority="12" operator="lessThan">
      <formula>0</formula>
    </cfRule>
  </conditionalFormatting>
  <conditionalFormatting sqref="E58:P58">
    <cfRule type="cellIs" dxfId="43" priority="1" operator="lessThan">
      <formula>0</formula>
    </cfRule>
  </conditionalFormatting>
  <pageMargins left="0.7" right="0.7" top="0.75" bottom="0.75" header="0.3" footer="0.3"/>
  <ignoredErrors>
    <ignoredError sqref="F22:P22 W22:AG22 AO22:AX23 AN33:AX55 W33:AG55 F33:P57 CJ3:CJ19" evalError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Drop Down 2">
              <controlPr defaultSize="0" autoLine="0" autoPict="0">
                <anchor moveWithCells="1">
                  <from>
                    <xdr:col>26</xdr:col>
                    <xdr:colOff>276225</xdr:colOff>
                    <xdr:row>0</xdr:row>
                    <xdr:rowOff>180975</xdr:rowOff>
                  </from>
                  <to>
                    <xdr:col>30</xdr:col>
                    <xdr:colOff>219075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180975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56</xdr:row>
                    <xdr:rowOff>9525</xdr:rowOff>
                  </from>
                  <to>
                    <xdr:col>3</xdr:col>
                    <xdr:colOff>180975</xdr:colOff>
                    <xdr:row>57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D6082669-EB77-46E4-B036-2DCAE60D16B7}">
            <xm:f>NOT(ISERROR(SEARCH("-",E23)))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E23:P23</xm:sqref>
        </x14:conditionalFormatting>
        <x14:conditionalFormatting xmlns:xm="http://schemas.microsoft.com/office/excel/2006/main">
          <x14:cfRule type="containsText" priority="27" operator="containsText" id="{ED97ECEB-A58E-41DE-B6F6-429E0AA4A82F}">
            <xm:f>NOT(ISERROR(SEARCH("-",AM23)))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AM23:AX23</xm:sqref>
        </x14:conditionalFormatting>
        <x14:conditionalFormatting xmlns:xm="http://schemas.microsoft.com/office/excel/2006/main">
          <x14:cfRule type="containsText" priority="14" operator="containsText" id="{45E64601-1891-4108-AAE7-29BA3AE97131}">
            <xm:f>NOT(ISERROR(SEARCH("-",E34)))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E34:P34</xm:sqref>
        </x14:conditionalFormatting>
        <x14:conditionalFormatting xmlns:xm="http://schemas.microsoft.com/office/excel/2006/main">
          <x14:cfRule type="containsText" priority="26" operator="containsText" id="{1D1F3DEA-68F9-43BC-B288-A4ABD1A31525}">
            <xm:f>NOT(ISERROR(SEARCH("-",E34)))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E34:P34</xm:sqref>
        </x14:conditionalFormatting>
        <x14:conditionalFormatting xmlns:xm="http://schemas.microsoft.com/office/excel/2006/main">
          <x14:cfRule type="containsText" priority="24" operator="containsText" id="{A210F70F-F73D-43F2-A9C7-D9859C5E56B3}">
            <xm:f>NOT(ISERROR(SEARCH("-",AM34)))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AM34:AX34</xm:sqref>
        </x14:conditionalFormatting>
        <x14:conditionalFormatting xmlns:xm="http://schemas.microsoft.com/office/excel/2006/main">
          <x14:cfRule type="containsText" priority="10" operator="containsText" id="{95DEAF70-D25D-4F99-BCC2-3A3CF10AF949}">
            <xm:f>NOT(ISERROR(SEARCH("-",V56)))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V56:AG56</xm:sqref>
        </x14:conditionalFormatting>
        <x14:conditionalFormatting xmlns:xm="http://schemas.microsoft.com/office/excel/2006/main">
          <x14:cfRule type="containsText" priority="21" operator="containsText" id="{44B40A6F-A720-41BC-910A-1DB27DF177AC}">
            <xm:f>NOT(ISERROR(SEARCH("-",AM45)))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AM45:AX45</xm:sqref>
        </x14:conditionalFormatting>
        <x14:conditionalFormatting xmlns:xm="http://schemas.microsoft.com/office/excel/2006/main">
          <x14:cfRule type="containsText" priority="22" operator="containsText" id="{D5692155-E8E9-494B-8204-30ABF737ED09}">
            <xm:f>NOT(ISERROR(SEARCH("-",V45)))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V45:AG45</xm:sqref>
        </x14:conditionalFormatting>
        <x14:conditionalFormatting xmlns:xm="http://schemas.microsoft.com/office/excel/2006/main">
          <x14:cfRule type="containsText" priority="20" operator="containsText" id="{2B54E033-718A-4431-AB78-EAD37B5C7F84}">
            <xm:f>NOT(ISERROR(SEARCH("-",E45)))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E45:P45</xm:sqref>
        </x14:conditionalFormatting>
        <x14:conditionalFormatting xmlns:xm="http://schemas.microsoft.com/office/excel/2006/main">
          <x14:cfRule type="containsText" priority="18" operator="containsText" id="{0D0533B9-070E-4084-8918-71BDBA58EB78}">
            <xm:f>NOT(ISERROR(SEARCH("-",AM56)))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AM56:AX56</xm:sqref>
        </x14:conditionalFormatting>
        <x14:conditionalFormatting xmlns:xm="http://schemas.microsoft.com/office/excel/2006/main">
          <x14:cfRule type="containsText" priority="19" operator="containsText" id="{8399578C-EF8F-483E-A754-F92A4BA0716B}">
            <xm:f>NOT(ISERROR(SEARCH("-",V56)))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V56:AG56</xm:sqref>
        </x14:conditionalFormatting>
        <x14:conditionalFormatting xmlns:xm="http://schemas.microsoft.com/office/excel/2006/main">
          <x14:cfRule type="containsText" priority="17" operator="containsText" id="{02C44BB8-B4B4-4AA4-ADCB-5FB49572FDD6}">
            <xm:f>NOT(ISERROR(SEARCH("-",V34)))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V34:AG34</xm:sqref>
        </x14:conditionalFormatting>
        <x14:conditionalFormatting xmlns:xm="http://schemas.microsoft.com/office/excel/2006/main">
          <x14:cfRule type="containsText" priority="16" operator="containsText" id="{757599C3-3750-4609-A3CE-612333D1AB10}">
            <xm:f>NOT(ISERROR(SEARCH("-",V23)))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V23:AG23</xm:sqref>
        </x14:conditionalFormatting>
        <x14:conditionalFormatting xmlns:xm="http://schemas.microsoft.com/office/excel/2006/main">
          <x14:cfRule type="containsText" priority="13" operator="containsText" id="{AE6E5296-1862-44BF-BBDA-48FC1177B19C}">
            <xm:f>NOT(ISERROR(SEARCH("-",E56)))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E56:P56</xm:sqref>
        </x14:conditionalFormatting>
        <x14:conditionalFormatting xmlns:xm="http://schemas.microsoft.com/office/excel/2006/main">
          <x14:cfRule type="containsText" priority="11" operator="containsText" id="{DFD1F387-29D6-430C-BC41-784AF680604E}">
            <xm:f>NOT(ISERROR(SEARCH("-",E45)))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E45:P45</xm:sqref>
        </x14:conditionalFormatting>
        <x14:conditionalFormatting xmlns:xm="http://schemas.microsoft.com/office/excel/2006/main">
          <x14:cfRule type="containsText" priority="9" operator="containsText" id="{7368C247-B61B-4426-8C45-002C6B644A51}">
            <xm:f>NOT(ISERROR(SEARCH("-",AM56)))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AM56:AX56</xm:sqref>
        </x14:conditionalFormatting>
        <x14:conditionalFormatting xmlns:xm="http://schemas.microsoft.com/office/excel/2006/main">
          <x14:cfRule type="containsText" priority="8" operator="containsText" id="{1101AE33-3563-440B-B6BC-37B1CD5BEF73}">
            <xm:f>NOT(ISERROR(SEARCH("-",AM45)))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AM45:AX45</xm:sqref>
        </x14:conditionalFormatting>
        <x14:conditionalFormatting xmlns:xm="http://schemas.microsoft.com/office/excel/2006/main">
          <x14:cfRule type="containsText" priority="7" operator="containsText" id="{8BD052A7-E58B-45A6-B8D0-823C67AF7214}">
            <xm:f>NOT(ISERROR(SEARCH("-",V45)))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V45:AG45</xm:sqref>
        </x14:conditionalFormatting>
        <x14:conditionalFormatting xmlns:xm="http://schemas.microsoft.com/office/excel/2006/main">
          <x14:cfRule type="containsText" priority="6" operator="containsText" id="{A0A09636-4D68-449D-97D5-B5CE18E0A8A9}">
            <xm:f>NOT(ISERROR(SEARCH("-",V34)))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V34:AG34</xm:sqref>
        </x14:conditionalFormatting>
        <x14:conditionalFormatting xmlns:xm="http://schemas.microsoft.com/office/excel/2006/main">
          <x14:cfRule type="containsText" priority="5" operator="containsText" id="{A54096CB-20A9-4652-B1C6-7E8132C69F60}">
            <xm:f>NOT(ISERROR(SEARCH("-",AM34)))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AM34:AX34</xm:sqref>
        </x14:conditionalFormatting>
        <x14:conditionalFormatting xmlns:xm="http://schemas.microsoft.com/office/excel/2006/main">
          <x14:cfRule type="containsText" priority="4" operator="containsText" id="{BB58E4B5-BBCA-4A4E-B556-584A50399B8D}">
            <xm:f>NOT(ISERROR(SEARCH("-",V23)))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V23:AG23</xm:sqref>
        </x14:conditionalFormatting>
        <x14:conditionalFormatting xmlns:xm="http://schemas.microsoft.com/office/excel/2006/main">
          <x14:cfRule type="containsText" priority="3" operator="containsText" id="{DA9ED9AE-42DB-4DC3-8FB0-8364DAD2556B}">
            <xm:f>NOT(ISERROR(SEARCH("-",AM23)))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AM23:AX23</xm:sqref>
        </x14:conditionalFormatting>
        <x14:conditionalFormatting xmlns:xm="http://schemas.microsoft.com/office/excel/2006/main">
          <x14:cfRule type="containsText" priority="2" operator="containsText" id="{083E1F60-D7E5-45A4-8895-940E1F0A1FE7}">
            <xm:f>NOT(ISERROR(SEARCH("-",E58)))</xm:f>
            <xm:f>"-"</xm:f>
            <x14:dxf>
              <fill>
                <patternFill>
                  <bgColor theme="5" tint="0.79998168889431442"/>
                </patternFill>
              </fill>
            </x14:dxf>
          </x14:cfRule>
          <xm:sqref>E58:P58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EO47"/>
  <sheetViews>
    <sheetView showGridLines="0" topLeftCell="F3" zoomScaleNormal="100" workbookViewId="0">
      <selection activeCell="G5" sqref="G5:H5"/>
    </sheetView>
  </sheetViews>
  <sheetFormatPr defaultColWidth="0" defaultRowHeight="0" customHeight="1" zeroHeight="1" x14ac:dyDescent="0.25"/>
  <cols>
    <col min="1" max="3" width="9.140625" style="4" hidden="1" customWidth="1"/>
    <col min="4" max="4" width="6.140625" style="16" hidden="1" customWidth="1"/>
    <col min="5" max="5" width="4.42578125" style="39" customWidth="1"/>
    <col min="6" max="6" width="18.140625" style="4" customWidth="1"/>
    <col min="7" max="10" width="10.28515625" style="4" customWidth="1"/>
    <col min="11" max="11" width="15.85546875" style="4" customWidth="1"/>
    <col min="12" max="12" width="6" style="4" customWidth="1"/>
    <col min="13" max="13" width="9.5703125" style="4" customWidth="1"/>
    <col min="14" max="14" width="8.5703125" style="4" customWidth="1"/>
    <col min="15" max="15" width="7.85546875" style="4" customWidth="1"/>
    <col min="16" max="16" width="8.7109375" style="4" customWidth="1"/>
    <col min="17" max="17" width="10.140625" style="4" customWidth="1"/>
    <col min="18" max="18" width="7.42578125" style="4" customWidth="1"/>
    <col min="19" max="19" width="0.140625" style="4" hidden="1" customWidth="1"/>
    <col min="20" max="20" width="6.7109375" style="4" customWidth="1"/>
    <col min="21" max="21" width="13.7109375" style="4" customWidth="1"/>
    <col min="22" max="25" width="4.5703125" style="4" customWidth="1"/>
    <col min="26" max="26" width="10" style="4" customWidth="1"/>
    <col min="27" max="27" width="8.140625" style="4" customWidth="1"/>
    <col min="28" max="28" width="7.85546875" style="4" customWidth="1"/>
    <col min="29" max="29" width="10.140625" style="4" customWidth="1"/>
    <col min="30" max="30" width="5.28515625" style="4" customWidth="1"/>
    <col min="31" max="31" width="0.5703125" style="33" customWidth="1"/>
    <col min="32" max="38" width="0.5703125" style="77" customWidth="1"/>
    <col min="39" max="40" width="0.5703125" style="33" customWidth="1"/>
    <col min="41" max="16384" width="6.85546875" style="56" hidden="1"/>
  </cols>
  <sheetData>
    <row r="1" spans="1:145" ht="18" customHeight="1" x14ac:dyDescent="0.25">
      <c r="A1" s="186">
        <v>1</v>
      </c>
      <c r="D1" s="15"/>
      <c r="F1" s="17"/>
      <c r="G1" s="18"/>
      <c r="H1" s="18"/>
      <c r="I1" s="56"/>
      <c r="J1" s="56"/>
      <c r="K1" s="56"/>
      <c r="L1" s="14"/>
      <c r="M1" s="14"/>
      <c r="N1" s="343" t="s">
        <v>131</v>
      </c>
      <c r="O1" s="343"/>
      <c r="P1" s="343"/>
      <c r="Q1"/>
      <c r="R1"/>
      <c r="S1"/>
      <c r="T1"/>
      <c r="Y1" s="19"/>
      <c r="Z1" s="19"/>
      <c r="AA1" s="19"/>
      <c r="AB1" s="19"/>
      <c r="AC1" s="19"/>
      <c r="AD1" s="18"/>
      <c r="EO1" s="56">
        <v>2</v>
      </c>
    </row>
    <row r="2" spans="1:145" ht="39" customHeight="1" thickBot="1" x14ac:dyDescent="0.3">
      <c r="A2" s="4">
        <f>Статистика!$CJ$1</f>
        <v>1</v>
      </c>
      <c r="D2" s="15"/>
      <c r="F2" s="141"/>
      <c r="G2" s="22"/>
      <c r="H2" s="142"/>
      <c r="I2" s="143"/>
      <c r="J2" s="143"/>
      <c r="K2" s="143"/>
      <c r="L2" s="144"/>
      <c r="M2" s="144"/>
      <c r="N2" s="343"/>
      <c r="O2" s="343"/>
      <c r="P2" s="343"/>
      <c r="Q2" s="3"/>
      <c r="R2" s="3"/>
      <c r="S2" s="3"/>
      <c r="T2" s="3"/>
      <c r="U2" s="22"/>
      <c r="V2" s="22"/>
      <c r="W2" s="22"/>
      <c r="X2" s="22"/>
      <c r="Y2" s="57"/>
      <c r="Z2" s="22"/>
      <c r="AA2" s="22"/>
      <c r="AB2" s="22"/>
      <c r="AC2" s="22"/>
      <c r="AD2" s="22"/>
      <c r="AE2" s="78"/>
      <c r="AF2" s="79"/>
      <c r="AG2" s="79"/>
      <c r="AH2" s="79"/>
      <c r="AI2" s="80"/>
      <c r="AJ2" s="81"/>
    </row>
    <row r="3" spans="1:145" ht="18" customHeight="1" thickTop="1" x14ac:dyDescent="0.25">
      <c r="D3" s="15"/>
      <c r="F3" s="146" t="s">
        <v>135</v>
      </c>
      <c r="G3" s="399" t="s">
        <v>139</v>
      </c>
      <c r="H3" s="399"/>
      <c r="I3" s="399" t="s">
        <v>140</v>
      </c>
      <c r="J3" s="399"/>
      <c r="K3" s="147" t="s">
        <v>141</v>
      </c>
      <c r="L3" s="399" t="s">
        <v>142</v>
      </c>
      <c r="M3" s="399"/>
      <c r="N3" s="399" t="s">
        <v>108</v>
      </c>
      <c r="O3" s="399"/>
      <c r="P3" s="399" t="s">
        <v>143</v>
      </c>
      <c r="Q3" s="399"/>
      <c r="R3" s="399" t="s">
        <v>144</v>
      </c>
      <c r="S3" s="399"/>
      <c r="T3" s="399"/>
      <c r="U3" s="147" t="s">
        <v>145</v>
      </c>
      <c r="V3" s="399" t="s">
        <v>146</v>
      </c>
      <c r="W3" s="399"/>
      <c r="X3" s="399"/>
      <c r="Y3" s="399" t="s">
        <v>147</v>
      </c>
      <c r="Z3" s="399"/>
      <c r="AA3" s="399" t="s">
        <v>148</v>
      </c>
      <c r="AB3" s="399"/>
      <c r="AC3" s="403" t="s">
        <v>149</v>
      </c>
      <c r="AD3" s="404"/>
      <c r="AE3" s="82"/>
      <c r="AF3" s="83"/>
      <c r="AG3" s="79"/>
      <c r="AH3" s="79"/>
      <c r="AI3" s="79"/>
      <c r="AJ3" s="80"/>
      <c r="AK3" s="81"/>
      <c r="AL3" s="77">
        <v>1</v>
      </c>
      <c r="AM3" s="185">
        <v>6</v>
      </c>
    </row>
    <row r="4" spans="1:145" ht="18" customHeight="1" x14ac:dyDescent="0.25">
      <c r="D4" s="15"/>
      <c r="F4" s="148" t="s">
        <v>150</v>
      </c>
      <c r="G4" s="400">
        <f ca="1">G44</f>
        <v>0</v>
      </c>
      <c r="H4" s="400"/>
      <c r="I4" s="400">
        <f ca="1">H44</f>
        <v>0</v>
      </c>
      <c r="J4" s="400"/>
      <c r="K4" s="145">
        <f ca="1">I44</f>
        <v>0</v>
      </c>
      <c r="L4" s="400">
        <f ca="1">J44</f>
        <v>0</v>
      </c>
      <c r="M4" s="400"/>
      <c r="N4" s="400">
        <f ca="1">K44</f>
        <v>0</v>
      </c>
      <c r="O4" s="400"/>
      <c r="P4" s="400">
        <f ca="1">L44</f>
        <v>0</v>
      </c>
      <c r="Q4" s="400"/>
      <c r="R4" s="400">
        <f ca="1">M44</f>
        <v>0</v>
      </c>
      <c r="S4" s="400"/>
      <c r="T4" s="400"/>
      <c r="U4" s="145">
        <f ca="1">N44</f>
        <v>0</v>
      </c>
      <c r="V4" s="400">
        <f ca="1">O44</f>
        <v>0</v>
      </c>
      <c r="W4" s="400"/>
      <c r="X4" s="400"/>
      <c r="Y4" s="400">
        <f ca="1">P44</f>
        <v>0</v>
      </c>
      <c r="Z4" s="400"/>
      <c r="AA4" s="400">
        <f ca="1">Q44</f>
        <v>0</v>
      </c>
      <c r="AB4" s="400"/>
      <c r="AC4" s="405">
        <f ca="1">R44</f>
        <v>0</v>
      </c>
      <c r="AD4" s="406"/>
      <c r="AE4" s="82">
        <v>178</v>
      </c>
      <c r="AF4" s="83" t="s">
        <v>156</v>
      </c>
      <c r="AG4" s="79">
        <v>178</v>
      </c>
      <c r="AH4" s="79"/>
      <c r="AI4" s="384">
        <v>180</v>
      </c>
      <c r="AJ4" s="384"/>
      <c r="AK4" s="81"/>
      <c r="AL4" s="77">
        <f ca="1">MAX(AL5:AL7)</f>
        <v>3</v>
      </c>
      <c r="AO4" s="56" t="s">
        <v>161</v>
      </c>
      <c r="AP4" s="56" t="s">
        <v>138</v>
      </c>
    </row>
    <row r="5" spans="1:145" ht="18" customHeight="1" x14ac:dyDescent="0.25">
      <c r="D5" s="15"/>
      <c r="F5" s="149" t="s">
        <v>151</v>
      </c>
      <c r="G5" s="401"/>
      <c r="H5" s="401"/>
      <c r="I5" s="401"/>
      <c r="J5" s="401"/>
      <c r="K5" s="322"/>
      <c r="L5" s="401"/>
      <c r="M5" s="401"/>
      <c r="N5" s="401"/>
      <c r="O5" s="401"/>
      <c r="P5" s="401"/>
      <c r="Q5" s="401"/>
      <c r="R5" s="401"/>
      <c r="S5" s="401"/>
      <c r="T5" s="401"/>
      <c r="U5" s="322"/>
      <c r="V5" s="401"/>
      <c r="W5" s="401"/>
      <c r="X5" s="401"/>
      <c r="Y5" s="401"/>
      <c r="Z5" s="401"/>
      <c r="AA5" s="401"/>
      <c r="AB5" s="401"/>
      <c r="AC5" s="386"/>
      <c r="AD5" s="387"/>
      <c r="AE5" s="82" t="e">
        <f ca="1">MAX(MIN(177,180*AG9),0)</f>
        <v>#VALUE!</v>
      </c>
      <c r="AF5" s="83" t="s">
        <v>157</v>
      </c>
      <c r="AG5" s="79">
        <f>180*AH5/100</f>
        <v>117</v>
      </c>
      <c r="AH5" s="79">
        <v>65</v>
      </c>
      <c r="AI5" s="384" t="e">
        <f ca="1">MIN(180*(AK8)-1,178)</f>
        <v>#DIV/0!</v>
      </c>
      <c r="AJ5" s="384"/>
      <c r="AK5" s="81"/>
      <c r="AL5" s="77">
        <f ca="1">IF(AG9&gt;=AO6,3,0)</f>
        <v>3</v>
      </c>
      <c r="AM5" s="33">
        <v>3</v>
      </c>
      <c r="AN5" s="33" t="s">
        <v>159</v>
      </c>
      <c r="AP5" s="56" t="s">
        <v>164</v>
      </c>
    </row>
    <row r="6" spans="1:145" ht="18.75" customHeight="1" thickBot="1" x14ac:dyDescent="0.3">
      <c r="D6" s="15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140"/>
      <c r="R6" s="35"/>
      <c r="Y6" s="19"/>
      <c r="AE6" s="82">
        <v>0</v>
      </c>
      <c r="AF6" s="83" t="s">
        <v>158</v>
      </c>
      <c r="AG6" s="79">
        <f>180*AH6/100-AG5</f>
        <v>45</v>
      </c>
      <c r="AH6" s="79">
        <v>90</v>
      </c>
      <c r="AI6" s="384">
        <v>2</v>
      </c>
      <c r="AJ6" s="384"/>
      <c r="AK6" s="81">
        <v>1</v>
      </c>
      <c r="AL6" s="77">
        <f ca="1">IF(AND(AL7=0,AG9&lt;AO6),2,0)</f>
        <v>0</v>
      </c>
      <c r="AM6" s="33">
        <v>2</v>
      </c>
      <c r="AN6" s="33" t="s">
        <v>158</v>
      </c>
      <c r="AO6" s="61">
        <v>0.9</v>
      </c>
      <c r="AP6" s="56" t="s">
        <v>163</v>
      </c>
    </row>
    <row r="7" spans="1:145" ht="19.5" customHeight="1" thickTop="1" x14ac:dyDescent="0.25">
      <c r="D7" s="15"/>
      <c r="F7" s="341" t="s">
        <v>227</v>
      </c>
      <c r="G7" s="341"/>
      <c r="H7" s="341"/>
      <c r="I7" s="341"/>
      <c r="J7" s="341"/>
      <c r="K7" s="341"/>
      <c r="L7" s="35"/>
      <c r="M7" s="341" t="s">
        <v>228</v>
      </c>
      <c r="N7" s="341"/>
      <c r="O7" s="341"/>
      <c r="P7" s="341"/>
      <c r="Q7" s="341"/>
      <c r="R7" s="36"/>
      <c r="S7" s="36"/>
      <c r="T7" s="341" t="s">
        <v>229</v>
      </c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84" t="e">
        <f ca="1">182-AE6-AE5</f>
        <v>#VALUE!</v>
      </c>
      <c r="AF7" s="83" t="s">
        <v>159</v>
      </c>
      <c r="AG7" s="79">
        <f>182-AG5-AG6</f>
        <v>20</v>
      </c>
      <c r="AH7" s="79"/>
      <c r="AI7" s="384" t="e">
        <f ca="1">180-AI5-AI6</f>
        <v>#DIV/0!</v>
      </c>
      <c r="AJ7" s="384"/>
      <c r="AK7" s="85">
        <v>0</v>
      </c>
      <c r="AL7" s="77">
        <f ca="1">IF(AG9&lt;AO7,1,0)</f>
        <v>0</v>
      </c>
      <c r="AM7" s="33">
        <v>1</v>
      </c>
      <c r="AN7" s="33" t="s">
        <v>157</v>
      </c>
      <c r="AO7" s="61">
        <v>0.65</v>
      </c>
      <c r="AP7" s="56" t="s">
        <v>162</v>
      </c>
    </row>
    <row r="8" spans="1:145" ht="23.25" customHeight="1" thickBot="1" x14ac:dyDescent="0.3">
      <c r="D8" s="15"/>
      <c r="G8" s="35"/>
      <c r="H8" s="35"/>
      <c r="I8" s="35"/>
      <c r="J8" s="35"/>
      <c r="K8" s="35"/>
      <c r="L8" s="35"/>
      <c r="M8" s="389" t="str">
        <f>IF(A1=1,"Анализ, что если к текущему моменту были бы другие значения","Анализ что будет на конец месяца при следующих значениях")</f>
        <v>Анализ, что если к текущему моменту были бы другие значения</v>
      </c>
      <c r="N8" s="389"/>
      <c r="O8" s="389"/>
      <c r="P8" s="389"/>
      <c r="Q8" s="389"/>
      <c r="R8" s="35"/>
      <c r="T8" s="388" t="s">
        <v>216</v>
      </c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82"/>
      <c r="AF8" s="86" t="str">
        <f>"факт"</f>
        <v>факт</v>
      </c>
      <c r="AG8" s="87">
        <f ca="1">OFFSET(F44,,A2)</f>
        <v>0</v>
      </c>
      <c r="AH8" s="87">
        <f ca="1">ROUND(AI8/2,0)</f>
        <v>0</v>
      </c>
      <c r="AI8" s="383">
        <f ca="1">OFFSET(F45,,A2)</f>
        <v>0</v>
      </c>
      <c r="AJ8" s="383"/>
      <c r="AK8" s="88" t="e">
        <f ca="1">AG8/AI8</f>
        <v>#DIV/0!</v>
      </c>
      <c r="AL8" s="77" t="e">
        <f ca="1">K17/AF13</f>
        <v>#DIV/0!</v>
      </c>
      <c r="AM8" s="33" t="e">
        <f>если</f>
        <v>#NAME?</v>
      </c>
    </row>
    <row r="9" spans="1:145" ht="18" customHeight="1" thickBot="1" x14ac:dyDescent="0.3">
      <c r="D9" s="15"/>
      <c r="F9" s="133" t="s">
        <v>116</v>
      </c>
      <c r="G9" s="121" t="s">
        <v>152</v>
      </c>
      <c r="H9" s="121" t="s">
        <v>153</v>
      </c>
      <c r="I9" s="121" t="s">
        <v>154</v>
      </c>
      <c r="J9" s="121" t="s">
        <v>155</v>
      </c>
      <c r="K9" s="134" t="s">
        <v>14</v>
      </c>
      <c r="L9" s="37"/>
      <c r="M9" s="392" t="s">
        <v>116</v>
      </c>
      <c r="N9" s="358"/>
      <c r="O9" s="132" t="s">
        <v>136</v>
      </c>
      <c r="P9" s="358" t="s">
        <v>215</v>
      </c>
      <c r="Q9" s="359"/>
      <c r="T9" s="138"/>
      <c r="U9" s="135"/>
      <c r="V9" s="135"/>
      <c r="W9" s="135"/>
      <c r="X9" s="135"/>
      <c r="Y9" s="136"/>
      <c r="Z9" s="137"/>
      <c r="AA9" s="348" t="s">
        <v>116</v>
      </c>
      <c r="AB9" s="349"/>
      <c r="AC9" s="349" t="s">
        <v>160</v>
      </c>
      <c r="AD9" s="385"/>
      <c r="AE9" s="89"/>
      <c r="AF9" s="28"/>
      <c r="AG9" s="88" t="str">
        <f ca="1">IFERROR(AH9/AI8,"-")</f>
        <v>-</v>
      </c>
      <c r="AH9" s="90">
        <f ca="1">E22</f>
        <v>0</v>
      </c>
      <c r="AI9" s="28" t="str">
        <f ca="1">IF(AH8&gt;1000,ROUND(AH8/1000,2)&amp;"т.р.",ROUND(AH8,2)&amp;"р.")</f>
        <v>0р.</v>
      </c>
      <c r="AJ9" s="28" t="str">
        <f ca="1">IF(AI8&gt;1000,ROUND(AI8/1000,2)&amp;"т.р.",ROUND(AI8,2)&amp;"р.")</f>
        <v>0р.</v>
      </c>
    </row>
    <row r="10" spans="1:145" ht="15" customHeight="1" x14ac:dyDescent="0.25">
      <c r="A10" s="13">
        <v>0</v>
      </c>
      <c r="B10" s="4">
        <f ca="1">IFERROR(OFFSET(БД!$K:$K,(B$23-1)*17+3+$A10-1,0,1,1),0)</f>
        <v>0</v>
      </c>
      <c r="C10" s="4">
        <f ca="1">IFERROR(OFFSET(БД!$K:$K,(C$23-1)*17+3+$A10-1,0,1,1),0)</f>
        <v>0</v>
      </c>
      <c r="D10" s="4">
        <f ca="1">IFERROR(OFFSET(БД!$K:$K,(D$23-1)*17+3+$A10-1,0,1,1),0)</f>
        <v>0</v>
      </c>
      <c r="F10" s="206" t="s">
        <v>0</v>
      </c>
      <c r="G10" s="207">
        <f ca="1">IF(OR($A$1=1,IFERROR(OFFSET(БД!$K:$K,(G$23-1)*17+3+$A$10-1,0,1,1),0)),IFERROR(OFFSET(БД!$K:$K,(G$23-1)*17+3+$A10-1,0,1,1),0),AVERAGE(B10,C10,D10))</f>
        <v>0</v>
      </c>
      <c r="H10" s="207">
        <f ca="1">IF(OR($A$1=1,IFERROR(OFFSET(БД!$K:$K,(H$23-1)*17+3+$A$10-1,0,1,1),0)),IFERROR(OFFSET(БД!$K:$K,(H$23-1)*17+3+$A10-1,0,1,1),0),AVERAGE(C10,D10,G10))</f>
        <v>0</v>
      </c>
      <c r="I10" s="207">
        <f ca="1">IF(OR($A$1=1,IFERROR(OFFSET(БД!$K:$K,(I$23-1)*17+3+$A$10-1,0,1,1),0)),IFERROR(OFFSET(БД!$K:$K,(I$23-1)*17+3+$A10-1,0,1,1),0),AVERAGE(D10,G10,H10))</f>
        <v>0</v>
      </c>
      <c r="J10" s="207">
        <f ca="1">IF(OR($A$1=1,IFERROR(OFFSET(БД!$K:$K,(J$23-1)*17+3+$A$10-1,0,1,1),0)),IFERROR(OFFSET(БД!$K:$K,(J$23-1)*17+3+$A10-1,0,1,1),0),AVERAGE(G10,H10,I10))</f>
        <v>0</v>
      </c>
      <c r="K10" s="200">
        <f ca="1">SUM(G10:J10)</f>
        <v>0</v>
      </c>
      <c r="L10" s="187">
        <v>300</v>
      </c>
      <c r="M10" s="393" t="s">
        <v>0</v>
      </c>
      <c r="N10" s="394"/>
      <c r="O10" s="130">
        <f>(L10-300)/500</f>
        <v>0</v>
      </c>
      <c r="P10" s="131"/>
      <c r="Q10" s="200">
        <f ca="1">K10*(1+O10)</f>
        <v>0</v>
      </c>
      <c r="T10" s="139"/>
      <c r="U10" s="62"/>
      <c r="V10" s="62"/>
      <c r="W10" s="62"/>
      <c r="X10" s="62"/>
      <c r="Y10" s="63"/>
      <c r="Z10" s="64"/>
      <c r="AA10" s="350" t="s">
        <v>0</v>
      </c>
      <c r="AB10" s="351"/>
      <c r="AC10" s="188">
        <f ca="1">IF(AD10,AH15,K10)</f>
        <v>0</v>
      </c>
      <c r="AD10" s="189">
        <f>IF($AM$3=AE10,1,0)</f>
        <v>0</v>
      </c>
      <c r="AE10" s="91">
        <v>1</v>
      </c>
      <c r="AF10" s="28"/>
      <c r="AG10" s="77">
        <v>0</v>
      </c>
      <c r="AH10" s="77" t="str">
        <f ca="1">IF(AG8&gt;1000,ROUND(AG8/1000,2)&amp;"т.р.",ROUND(AG8,2)&amp;"р.")</f>
        <v>0р.</v>
      </c>
    </row>
    <row r="11" spans="1:145" ht="15" customHeight="1" x14ac:dyDescent="0.25">
      <c r="A11" s="13">
        <v>1</v>
      </c>
      <c r="B11" s="4">
        <f ca="1">IFERROR(OFFSET(БД!$K:$K,(B$23-1)*17+3+$A11-1,0,1,1),0)</f>
        <v>0</v>
      </c>
      <c r="C11" s="4">
        <f ca="1">IFERROR(OFFSET(БД!$K:$K,(C$23-1)*17+3+$A11-1,0,1,1),0)</f>
        <v>0</v>
      </c>
      <c r="D11" s="4">
        <f ca="1">IFERROR(OFFSET(БД!$K:$K,(D$23-1)*17+3+$A11-1,0,1,1),0)</f>
        <v>0</v>
      </c>
      <c r="F11" s="208" t="s">
        <v>1</v>
      </c>
      <c r="G11" s="209">
        <f ca="1">IF(OR($A$1=1,IFERROR(OFFSET(БД!$K:$K,(G$23-1)*17+3+$A$10-1,0,1,1),0)),IFERROR(OFFSET(БД!$K:$K,(G$23-1)*17+3+$A11-1,0,1,1),0),AVERAGE(B11,C11,D11))</f>
        <v>0</v>
      </c>
      <c r="H11" s="209">
        <f ca="1">IF(OR($A$1=1,IFERROR(OFFSET(БД!$K:$K,(H$23-1)*17+3+$A$10-1,0,1,1),0)),IFERROR(OFFSET(БД!$K:$K,(H$23-1)*17+3+$A11-1,0,1,1),0),AVERAGE(C11,D11,G11))</f>
        <v>0</v>
      </c>
      <c r="I11" s="209">
        <f ca="1">IF(OR($A$1=1,IFERROR(OFFSET(БД!$K:$K,(I$23-1)*17+3+$A$10-1,0,1,1),0)),IFERROR(OFFSET(БД!$K:$K,(I$23-1)*17+3+$A11-1,0,1,1),0),AVERAGE(D11,G11,H11))</f>
        <v>0</v>
      </c>
      <c r="J11" s="209">
        <f ca="1">IF(OR($A$1=1,IFERROR(OFFSET(БД!$K:$K,(J$23-1)*17+3+$A$10-1,0,1,1),0)),IFERROR(OFFSET(БД!$K:$K,(J$23-1)*17+3+$A11-1,0,1,1),0),AVERAGE(G11,H11,I11))</f>
        <v>0</v>
      </c>
      <c r="K11" s="201">
        <f t="shared" ref="K11:K18" ca="1" si="0">SUM(G11:J11)</f>
        <v>0</v>
      </c>
      <c r="L11" s="187">
        <v>300</v>
      </c>
      <c r="M11" s="354" t="s">
        <v>1</v>
      </c>
      <c r="N11" s="355"/>
      <c r="O11" s="122">
        <f>(L11-300)/500</f>
        <v>0</v>
      </c>
      <c r="P11" s="123"/>
      <c r="Q11" s="201">
        <f ca="1">K12*Q10*(1+O11)</f>
        <v>0</v>
      </c>
      <c r="T11" s="139"/>
      <c r="U11" s="62"/>
      <c r="V11" s="62"/>
      <c r="W11" s="62"/>
      <c r="X11" s="62"/>
      <c r="Y11" s="63"/>
      <c r="Z11" s="64"/>
      <c r="AA11" s="344" t="s">
        <v>1</v>
      </c>
      <c r="AB11" s="345"/>
      <c r="AC11" s="190">
        <f ca="1">IF(AD11,K11/AL8,AC10*K12)</f>
        <v>0</v>
      </c>
      <c r="AD11" s="191">
        <f>IF($AM$3=AE11,1,0)</f>
        <v>0</v>
      </c>
      <c r="AE11" s="91">
        <v>2</v>
      </c>
      <c r="AF11" s="28"/>
    </row>
    <row r="12" spans="1:145" ht="15" customHeight="1" x14ac:dyDescent="0.25">
      <c r="D12" s="4"/>
      <c r="F12" s="210" t="s">
        <v>15</v>
      </c>
      <c r="G12" s="211">
        <f ca="1">IF(G10&gt;0,G11/G10,0)</f>
        <v>0</v>
      </c>
      <c r="H12" s="211">
        <f ca="1">IF(H10&gt;0,H11/H10,0)</f>
        <v>0</v>
      </c>
      <c r="I12" s="211">
        <f ca="1">IF(I10&gt;0,I11/I10,0)</f>
        <v>0</v>
      </c>
      <c r="J12" s="211">
        <f ca="1">IF(J10&gt;0,J11/J10,0)</f>
        <v>0</v>
      </c>
      <c r="K12" s="202">
        <f ca="1">IF(K10&gt;0,K11/K10,0)</f>
        <v>0</v>
      </c>
      <c r="L12" s="60"/>
      <c r="M12" s="352" t="s">
        <v>15</v>
      </c>
      <c r="N12" s="353"/>
      <c r="O12" s="124"/>
      <c r="P12" s="125"/>
      <c r="Q12" s="202">
        <f ca="1">IF(Q10&gt;0,Q11/Q10,0)</f>
        <v>0</v>
      </c>
      <c r="T12" s="139"/>
      <c r="U12" s="62"/>
      <c r="V12" s="62"/>
      <c r="W12" s="62"/>
      <c r="X12" s="62"/>
      <c r="Y12" s="63"/>
      <c r="Z12" s="64"/>
      <c r="AA12" s="346" t="s">
        <v>15</v>
      </c>
      <c r="AB12" s="347"/>
      <c r="AC12" s="192">
        <f ca="1">IF(AC10&gt;0,AC11/AC10,0)</f>
        <v>0</v>
      </c>
      <c r="AD12" s="193"/>
      <c r="AE12" s="91"/>
      <c r="AF12" s="28"/>
    </row>
    <row r="13" spans="1:145" ht="15" customHeight="1" x14ac:dyDescent="0.25">
      <c r="A13" s="13">
        <v>2</v>
      </c>
      <c r="B13" s="4">
        <f ca="1">IFERROR(OFFSET(БД!$K:$K,(B$23-1)*17+3+$A13-1,0,1,1),0)</f>
        <v>0</v>
      </c>
      <c r="C13" s="4">
        <f ca="1">IFERROR(OFFSET(БД!$K:$K,(C$23-1)*17+3+$A13-1,0,1,1),0)</f>
        <v>0</v>
      </c>
      <c r="D13" s="4">
        <f ca="1">IFERROR(OFFSET(БД!$K:$K,(D$23-1)*17+3+$A13-1,0,1,1),0)</f>
        <v>0</v>
      </c>
      <c r="F13" s="208" t="s">
        <v>2</v>
      </c>
      <c r="G13" s="209">
        <f ca="1">IF(OR($A$1=1,IFERROR(OFFSET(БД!$K:$K,(G$23-1)*17+3+$A$10-1,0,1,1),0)),IFERROR(OFFSET(БД!$K:$K,(G$23-1)*17+3+$A13-1,0,1,1),0),AVERAGE(B13,C13,D13))</f>
        <v>0</v>
      </c>
      <c r="H13" s="209">
        <f ca="1">IF(OR($A$1=1,IFERROR(OFFSET(БД!$K:$K,(H$23-1)*17+3+$A$10-1,0,1,1),0)),IFERROR(OFFSET(БД!$K:$K,(H$23-1)*17+3+$A13-1,0,1,1),0),AVERAGE(C13,D13,G13))</f>
        <v>0</v>
      </c>
      <c r="I13" s="209">
        <f ca="1">IF(OR($A$1=1,IFERROR(OFFSET(БД!$K:$K,(I$23-1)*17+3+$A$10-1,0,1,1),0)),IFERROR(OFFSET(БД!$K:$K,(I$23-1)*17+3+$A13-1,0,1,1),0),AVERAGE(D13,G13,H13))</f>
        <v>0</v>
      </c>
      <c r="J13" s="209">
        <f ca="1">IF(OR($A$1=1,IFERROR(OFFSET(БД!$K:$K,(J$23-1)*17+3+$A$10-1,0,1,1),0)),IFERROR(OFFSET(БД!$K:$K,(J$23-1)*17+3+$A13-1,0,1,1),0),AVERAGE(G13,H13,I13))</f>
        <v>0</v>
      </c>
      <c r="K13" s="201">
        <f t="shared" ca="1" si="0"/>
        <v>0</v>
      </c>
      <c r="L13" s="187">
        <v>300</v>
      </c>
      <c r="M13" s="354" t="s">
        <v>2</v>
      </c>
      <c r="N13" s="355"/>
      <c r="O13" s="122">
        <f>(L13-300)/500</f>
        <v>0</v>
      </c>
      <c r="P13" s="123"/>
      <c r="Q13" s="201">
        <f ca="1">K14*Q11*(1+O13)</f>
        <v>0</v>
      </c>
      <c r="T13" s="139"/>
      <c r="U13" s="62"/>
      <c r="V13" s="62"/>
      <c r="W13" s="62"/>
      <c r="X13" s="62"/>
      <c r="Y13" s="63"/>
      <c r="Z13" s="64"/>
      <c r="AA13" s="344" t="s">
        <v>2</v>
      </c>
      <c r="AB13" s="345"/>
      <c r="AC13" s="190">
        <f ca="1">IF(AD13,K13/AL8,AC11*K14)</f>
        <v>0</v>
      </c>
      <c r="AD13" s="191">
        <f>IF($AM$3=AE13,1,0)</f>
        <v>0</v>
      </c>
      <c r="AE13" s="91">
        <v>3</v>
      </c>
      <c r="AF13" s="92">
        <f ca="1">AI8+K18+K19</f>
        <v>0</v>
      </c>
      <c r="AG13" s="93"/>
    </row>
    <row r="14" spans="1:145" ht="15" customHeight="1" x14ac:dyDescent="0.25">
      <c r="D14" s="4"/>
      <c r="F14" s="210" t="s">
        <v>16</v>
      </c>
      <c r="G14" s="211">
        <f ca="1">IF(G11&gt;0,G13/G11,0)</f>
        <v>0</v>
      </c>
      <c r="H14" s="211">
        <f ca="1">IF(H11&gt;0,H13/H11,0)</f>
        <v>0</v>
      </c>
      <c r="I14" s="211">
        <f ca="1">IF(I11&gt;0,I13/I11,0)</f>
        <v>0</v>
      </c>
      <c r="J14" s="211">
        <f ca="1">IF(J11&gt;0,J13/J11,0)</f>
        <v>0</v>
      </c>
      <c r="K14" s="202">
        <f ca="1">IF(K11&gt;0,K13/K11,0)</f>
        <v>0</v>
      </c>
      <c r="L14" s="60"/>
      <c r="M14" s="352" t="s">
        <v>16</v>
      </c>
      <c r="N14" s="353"/>
      <c r="O14" s="124"/>
      <c r="P14" s="125"/>
      <c r="Q14" s="202">
        <f ca="1">IF(Q11&gt;0,Q13/Q11,0)</f>
        <v>0</v>
      </c>
      <c r="T14" s="139"/>
      <c r="U14" s="62"/>
      <c r="V14" s="62"/>
      <c r="W14" s="62"/>
      <c r="X14" s="62"/>
      <c r="Y14" s="63"/>
      <c r="Z14" s="64"/>
      <c r="AA14" s="346" t="s">
        <v>16</v>
      </c>
      <c r="AB14" s="347"/>
      <c r="AC14" s="192">
        <f ca="1">IF(AC11&gt;0,AC13/AC11,0)</f>
        <v>0</v>
      </c>
      <c r="AD14" s="193"/>
      <c r="AE14" s="91"/>
      <c r="AF14" s="28"/>
      <c r="AG14" s="94">
        <f ca="1">K16*K14*K12</f>
        <v>0</v>
      </c>
      <c r="AH14" s="95" t="e">
        <f ca="1">AH15/K20</f>
        <v>#DIV/0!</v>
      </c>
      <c r="AI14" s="77" t="e">
        <f ca="1">AH14/AG14</f>
        <v>#DIV/0!</v>
      </c>
    </row>
    <row r="15" spans="1:145" ht="15" customHeight="1" x14ac:dyDescent="0.25">
      <c r="A15" s="13">
        <v>3</v>
      </c>
      <c r="B15" s="4">
        <f ca="1">IFERROR(OFFSET(БД!$K:$K,(B$23-1)*17+3+$A15-1,0,1,1),0)</f>
        <v>0</v>
      </c>
      <c r="C15" s="4">
        <f ca="1">IFERROR(OFFSET(БД!$K:$K,(C$23-1)*17+3+$A15-1,0,1,1),0)</f>
        <v>0</v>
      </c>
      <c r="D15" s="4">
        <f ca="1">IFERROR(OFFSET(БД!$K:$K,(D$23-1)*17+3+$A15-1,0,1,1),0)</f>
        <v>0</v>
      </c>
      <c r="F15" s="208" t="s">
        <v>3</v>
      </c>
      <c r="G15" s="209">
        <f ca="1">IF(OR($A$1=1,IFERROR(OFFSET(БД!$K:$K,(G$23-1)*17+3+$A$10-1,0,1,1),0)),IFERROR(OFFSET(БД!$K:$K,(G$23-1)*17+3+$A15-1,0,1,1),0),AVERAGE(B15,C15,D15))</f>
        <v>0</v>
      </c>
      <c r="H15" s="209">
        <f ca="1">IF(OR($A$1=1,IFERROR(OFFSET(БД!$K:$K,(H$23-1)*17+3+$A$10-1,0,1,1),0)),IFERROR(OFFSET(БД!$K:$K,(H$23-1)*17+3+$A15-1,0,1,1),0),AVERAGE(C15,D15,G15))</f>
        <v>0</v>
      </c>
      <c r="I15" s="209">
        <f ca="1">IF(OR($A$1=1,IFERROR(OFFSET(БД!$K:$K,(I$23-1)*17+3+$A$10-1,0,1,1),0)),IFERROR(OFFSET(БД!$K:$K,(I$23-1)*17+3+$A15-1,0,1,1),0),AVERAGE(D15,G15,H15))</f>
        <v>0</v>
      </c>
      <c r="J15" s="209">
        <f ca="1">IF(OR($A$1=1,IFERROR(OFFSET(БД!$K:$K,(J$23-1)*17+3+$A$10-1,0,1,1),0)),IFERROR(OFFSET(БД!$K:$K,(J$23-1)*17+3+$A15-1,0,1,1),0),AVERAGE(G15,H15,I15))</f>
        <v>0</v>
      </c>
      <c r="K15" s="201">
        <f t="shared" ca="1" si="0"/>
        <v>0</v>
      </c>
      <c r="L15" s="187">
        <v>300</v>
      </c>
      <c r="M15" s="354" t="s">
        <v>3</v>
      </c>
      <c r="N15" s="355"/>
      <c r="O15" s="122">
        <f>(L15-300)/500</f>
        <v>0</v>
      </c>
      <c r="P15" s="123"/>
      <c r="Q15" s="201">
        <f ca="1">Q13*K16*(1+O15)</f>
        <v>0</v>
      </c>
      <c r="T15" s="139"/>
      <c r="U15" s="62"/>
      <c r="V15" s="62"/>
      <c r="W15" s="62"/>
      <c r="X15" s="62"/>
      <c r="Y15" s="63"/>
      <c r="Z15" s="64"/>
      <c r="AA15" s="344" t="s">
        <v>3</v>
      </c>
      <c r="AB15" s="345"/>
      <c r="AC15" s="190">
        <f ca="1">IF(AD15,K15/AL8,AC13*K16)</f>
        <v>0</v>
      </c>
      <c r="AD15" s="191">
        <f>IF($AM$3=AE15,1,0)</f>
        <v>0</v>
      </c>
      <c r="AE15" s="91">
        <v>4</v>
      </c>
      <c r="AF15" s="28"/>
      <c r="AG15" s="93" t="e">
        <f ca="1">K18/K10</f>
        <v>#DIV/0!</v>
      </c>
      <c r="AH15" s="94" t="e">
        <f ca="1">MAX((K19+AI8)/(K20*AG14-AG15),K10)</f>
        <v>#DIV/0!</v>
      </c>
    </row>
    <row r="16" spans="1:145" ht="15" customHeight="1" x14ac:dyDescent="0.25">
      <c r="D16" s="4"/>
      <c r="F16" s="210" t="s">
        <v>17</v>
      </c>
      <c r="G16" s="211">
        <f ca="1">IF(G13&gt;0,G15/G13,0)</f>
        <v>0</v>
      </c>
      <c r="H16" s="211">
        <f ca="1">IF(H13&gt;0,H15/H13,0)</f>
        <v>0</v>
      </c>
      <c r="I16" s="211">
        <f ca="1">IF(I13&gt;0,I15/I13,0)</f>
        <v>0</v>
      </c>
      <c r="J16" s="211">
        <f ca="1">IF(J13&gt;0,J15/J13,0)</f>
        <v>0</v>
      </c>
      <c r="K16" s="202">
        <f ca="1">IF(K13&gt;0,K15/K13,0)</f>
        <v>0</v>
      </c>
      <c r="L16" s="60"/>
      <c r="M16" s="352" t="s">
        <v>17</v>
      </c>
      <c r="N16" s="353"/>
      <c r="O16" s="124"/>
      <c r="P16" s="125"/>
      <c r="Q16" s="202">
        <f ca="1">IF(Q13&gt;0,Q15/Q13,0)</f>
        <v>0</v>
      </c>
      <c r="T16" s="139"/>
      <c r="U16" s="62"/>
      <c r="V16" s="65"/>
      <c r="W16" s="65"/>
      <c r="X16" s="65"/>
      <c r="Y16" s="63"/>
      <c r="Z16" s="64"/>
      <c r="AA16" s="346" t="s">
        <v>17</v>
      </c>
      <c r="AB16" s="347"/>
      <c r="AC16" s="192">
        <f ca="1">IF(AC13&gt;0,AC15/AC13,0)</f>
        <v>0</v>
      </c>
      <c r="AD16" s="193"/>
      <c r="AE16" s="91"/>
      <c r="AF16" s="28"/>
      <c r="AG16" s="77" t="s">
        <v>3</v>
      </c>
      <c r="AH16" s="96" t="e">
        <f ca="1">(AI8+AC18+AC19)/AC20</f>
        <v>#DIV/0!</v>
      </c>
    </row>
    <row r="17" spans="1:34" ht="15" customHeight="1" x14ac:dyDescent="0.25">
      <c r="A17" s="13">
        <v>4</v>
      </c>
      <c r="B17" s="4">
        <f ca="1">IFERROR(OFFSET(БД!$K:$K,(B$23-1)*17+3+$A17-1,0,1,1),0)</f>
        <v>0</v>
      </c>
      <c r="C17" s="4">
        <f ca="1">IFERROR(OFFSET(БД!$K:$K,(C$23-1)*17+3+$A17-1,0,1,1),0)</f>
        <v>0</v>
      </c>
      <c r="D17" s="4">
        <f ca="1">IFERROR(OFFSET(БД!$K:$K,(D$23-1)*17+3+$A17-1,0,1,1),0)</f>
        <v>0</v>
      </c>
      <c r="F17" s="208" t="s">
        <v>4</v>
      </c>
      <c r="G17" s="212">
        <f ca="1">IF(OR($A$1=1,IFERROR(OFFSET(БД!$K:$K,(G$23-1)*17+3+$A$10-1,0,1,1),0)),IFERROR(OFFSET(БД!$K:$K,(G$23-1)*17+3+$A17-1,0,1,1),0),AVERAGE(B17,C17,D17))</f>
        <v>0</v>
      </c>
      <c r="H17" s="212">
        <f ca="1">IF(OR($A$1=1,IFERROR(OFFSET(БД!$K:$K,(H$23-1)*17+3+$A$10-1,0,1,1),0)),IFERROR(OFFSET(БД!$K:$K,(H$23-1)*17+3+$A17-1,0,1,1),0),AVERAGE(C17,D17,G17))</f>
        <v>0</v>
      </c>
      <c r="I17" s="212">
        <f ca="1">IF(OR($A$1=1,IFERROR(OFFSET(БД!$K:$K,(I$23-1)*17+3+$A$10-1,0,1,1),0)),IFERROR(OFFSET(БД!$K:$K,(I$23-1)*17+3+$A17-1,0,1,1),0),AVERAGE(D17,G17,H17))</f>
        <v>0</v>
      </c>
      <c r="J17" s="212">
        <f ca="1">IF(OR($A$1=1,IFERROR(OFFSET(БД!$K:$K,(J$23-1)*17+3+$A$10-1,0,1,1),0)),IFERROR(OFFSET(БД!$K:$K,(J$23-1)*17+3+$A17-1,0,1,1),0),AVERAGE(G17,H17,I17))</f>
        <v>0</v>
      </c>
      <c r="K17" s="203">
        <f t="shared" ca="1" si="0"/>
        <v>0</v>
      </c>
      <c r="L17" s="187">
        <v>300</v>
      </c>
      <c r="M17" s="354" t="s">
        <v>4</v>
      </c>
      <c r="N17" s="355"/>
      <c r="O17" s="122">
        <f>(L17-300)/500</f>
        <v>0</v>
      </c>
      <c r="P17" s="123"/>
      <c r="Q17" s="203" t="e">
        <f ca="1">K17/K15*Q15*(1+O17)</f>
        <v>#DIV/0!</v>
      </c>
      <c r="T17" s="139"/>
      <c r="U17" s="65"/>
      <c r="V17" s="65"/>
      <c r="W17" s="65"/>
      <c r="X17" s="65"/>
      <c r="Y17" s="63"/>
      <c r="Z17" s="64"/>
      <c r="AA17" s="344" t="s">
        <v>4</v>
      </c>
      <c r="AB17" s="345"/>
      <c r="AC17" s="194">
        <f ca="1">AC20*AC15</f>
        <v>0</v>
      </c>
      <c r="AD17" s="195"/>
      <c r="AE17" s="91"/>
      <c r="AF17" s="28"/>
      <c r="AH17" s="77" t="e">
        <f ca="1">AH16/AC16</f>
        <v>#DIV/0!</v>
      </c>
    </row>
    <row r="18" spans="1:34" ht="15" customHeight="1" x14ac:dyDescent="0.25">
      <c r="A18" s="13">
        <v>5</v>
      </c>
      <c r="B18" s="4">
        <f ca="1">IFERROR(OFFSET(БД!$K:$K,(B$23-1)*17+3+$A18-1,0,1,1),0)</f>
        <v>0</v>
      </c>
      <c r="C18" s="4">
        <f ca="1">IFERROR(OFFSET(БД!$K:$K,(C$23-1)*17+3+$A18-1,0,1,1),0)</f>
        <v>0</v>
      </c>
      <c r="D18" s="4">
        <f ca="1">IFERROR(OFFSET(БД!$K:$K,(D$23-1)*17+3+$A18-1,0,1,1),0)</f>
        <v>0</v>
      </c>
      <c r="F18" s="208" t="s">
        <v>133</v>
      </c>
      <c r="G18" s="212">
        <f ca="1">IF(OR($A$1=1,IFERROR(OFFSET(БД!$K:$K,(G$23-1)*17+3+$A$10-1,0,1,1),0)),IFERROR(OFFSET(БД!$K:$K,(G$23-1)*17+3+$A18-1,0,1,1),0),AVERAGE(B18,C18,D18))</f>
        <v>0</v>
      </c>
      <c r="H18" s="212">
        <f ca="1">IF(OR($A$1=1,IFERROR(OFFSET(БД!$K:$K,(H$23-1)*17+3+$A$10-1,0,1,1),0)),IFERROR(OFFSET(БД!$K:$K,(H$23-1)*17+3+$A18-1,0,1,1),0),AVERAGE(C18,D18,G18))</f>
        <v>0</v>
      </c>
      <c r="I18" s="212">
        <f ca="1">IF(OR($A$1=1,IFERROR(OFFSET(БД!$K:$K,(I$23-1)*17+3+$A$10-1,0,1,1),0)),IFERROR(OFFSET(БД!$K:$K,(I$23-1)*17+3+$A18-1,0,1,1),0),AVERAGE(D18,G18,H18))</f>
        <v>0</v>
      </c>
      <c r="J18" s="212">
        <f ca="1">IF(OR($A$1=1,IFERROR(OFFSET(БД!$K:$K,(J$23-1)*17+3+$A$10-1,0,1,1),0)),IFERROR(OFFSET(БД!$K:$K,(J$23-1)*17+3+$A18-1,0,1,1),0),AVERAGE(G18,H18,I18))</f>
        <v>0</v>
      </c>
      <c r="K18" s="203">
        <f t="shared" ca="1" si="0"/>
        <v>0</v>
      </c>
      <c r="L18" s="60"/>
      <c r="M18" s="354" t="s">
        <v>133</v>
      </c>
      <c r="N18" s="355"/>
      <c r="O18" s="122"/>
      <c r="P18" s="123"/>
      <c r="Q18" s="203" t="e">
        <f ca="1">K18/K10*Q10</f>
        <v>#DIV/0!</v>
      </c>
      <c r="T18" s="362"/>
      <c r="U18" s="363"/>
      <c r="V18" s="367" t="str">
        <f ca="1">IF(AI8=0,"введите цель",IFERROR(VLOOKUP(AL4,AM5:AP7,4,0),"введите цель"))</f>
        <v>введите цель</v>
      </c>
      <c r="W18" s="367"/>
      <c r="X18" s="367"/>
      <c r="Y18" s="367"/>
      <c r="Z18" s="367"/>
      <c r="AA18" s="344" t="s">
        <v>133</v>
      </c>
      <c r="AB18" s="345"/>
      <c r="AC18" s="194">
        <f ca="1">IFERROR(K18/K10*AC10,0)</f>
        <v>0</v>
      </c>
      <c r="AD18" s="191"/>
      <c r="AE18" s="91"/>
      <c r="AF18" s="28"/>
    </row>
    <row r="19" spans="1:34" ht="15" customHeight="1" x14ac:dyDescent="0.25">
      <c r="A19" s="4">
        <f ca="1">IF(OR(0,IFERROR(OFFSET(БД!$K:$K,(G$23-1)*17+3+$A$10-1,0,1,1),0)),IFERROR(OFFSET(БД!$K:$K,(G$23-1)*17+3+$A17-1,0,1,1),0),AVERAGE(B17,C17,D17))</f>
        <v>0</v>
      </c>
      <c r="B19" s="4">
        <f ca="1">IF(OR(0,IFERROR(OFFSET(БД!$K:$K,(H$23-1)*17+3+$A$10-1,0,1,1),0)),IFERROR(OFFSET(БД!$K:$K,(H$23-1)*17+3+$A17-1,0,1,1),0),AVERAGE(C17,D17,A19))</f>
        <v>0</v>
      </c>
      <c r="C19" s="4">
        <f ca="1">IF(OR(0,IFERROR(OFFSET(БД!$K:$K,(I$23-1)*17+3+$A$10-1,0,1,1),0)),IFERROR(OFFSET(БД!$K:$K,(I$23-1)*17+3+$A17-1,0,1,1),0),AVERAGE(D17,A19,B19))</f>
        <v>0</v>
      </c>
      <c r="D19" s="15">
        <f ca="1">IF(OR(0,IFERROR(OFFSET(БД!$K:$K,(J$23-1)*17+3+$A$10-1,0,1,1),0)),IFERROR(OFFSET(БД!$K:$K,(J$23-1)*17+3+$A17-1,0,1,1),0),AVERAGE(A19,B19,C19))</f>
        <v>0</v>
      </c>
      <c r="E19" s="39">
        <f ca="1">SUM(A19:D19)</f>
        <v>0</v>
      </c>
      <c r="F19" s="213" t="s">
        <v>134</v>
      </c>
      <c r="G19" s="214">
        <f ca="1">$K$19/4</f>
        <v>0</v>
      </c>
      <c r="H19" s="214">
        <f t="shared" ref="H19:J19" ca="1" si="1">$K$19/4</f>
        <v>0</v>
      </c>
      <c r="I19" s="214">
        <f t="shared" ca="1" si="1"/>
        <v>0</v>
      </c>
      <c r="J19" s="214">
        <f t="shared" ca="1" si="1"/>
        <v>0</v>
      </c>
      <c r="K19" s="203">
        <f ca="1">SUM(OFFSET(БД!$N:$N,,$A$2*2))</f>
        <v>0</v>
      </c>
      <c r="L19" s="187">
        <v>300</v>
      </c>
      <c r="M19" s="356" t="s">
        <v>134</v>
      </c>
      <c r="N19" s="357"/>
      <c r="O19" s="122">
        <f>(L19-300)/500</f>
        <v>0</v>
      </c>
      <c r="P19" s="123"/>
      <c r="Q19" s="203">
        <f ca="1">K19*(1+O19)</f>
        <v>0</v>
      </c>
      <c r="T19" s="364"/>
      <c r="U19" s="363"/>
      <c r="V19" s="367"/>
      <c r="W19" s="367"/>
      <c r="X19" s="367"/>
      <c r="Y19" s="367"/>
      <c r="Z19" s="367"/>
      <c r="AA19" s="371" t="s">
        <v>134</v>
      </c>
      <c r="AB19" s="372"/>
      <c r="AC19" s="194">
        <f ca="1">K19</f>
        <v>0</v>
      </c>
      <c r="AD19" s="191"/>
      <c r="AE19" s="91"/>
      <c r="AF19" s="28"/>
    </row>
    <row r="20" spans="1:34" ht="15" customHeight="1" x14ac:dyDescent="0.25">
      <c r="A20" s="4">
        <f ca="1">IF(OR(0,IFERROR(OFFSET(БД!$K:$K,(G$23-1)*17+3+$A$10-1,0,1,1),0)),IFERROR(OFFSET(БД!$K:$K,(G$23-1)*17+3+$A18-1,0,1,1),0),AVERAGE(B18,C18,D18))</f>
        <v>0</v>
      </c>
      <c r="B20" s="4">
        <f ca="1">IF(OR(0,IFERROR(OFFSET(БД!$K:$K,(H$23-1)*17+3+$A$10-1,0,1,1),0)),IFERROR(OFFSET(БД!$K:$K,(H$23-1)*17+3+$A18-1,0,1,1),0),AVERAGE(C18,D18,A20))</f>
        <v>0</v>
      </c>
      <c r="C20" s="4">
        <f ca="1">IF(OR(0,IFERROR(OFFSET(БД!$K:$K,(I$23-1)*17+3+$A$10-1,0,1,1),0)),IFERROR(OFFSET(БД!$K:$K,(I$23-1)*17+3+$A18-1,0,1,1),0),AVERAGE(D18,A20,B20))</f>
        <v>0</v>
      </c>
      <c r="D20" s="15">
        <f ca="1">IF(OR(0,IFERROR(OFFSET(БД!$K:$K,(J$23-1)*17+3+$A$10-1,0,1,1),0)),IFERROR(OFFSET(БД!$K:$K,(J$23-1)*17+3+$A18-1,0,1,1),0),AVERAGE(A20,B20,C20))</f>
        <v>0</v>
      </c>
      <c r="E20" s="39">
        <f t="shared" ref="E20" ca="1" si="2">SUM(A20:D20)</f>
        <v>0</v>
      </c>
      <c r="F20" s="215" t="s">
        <v>22</v>
      </c>
      <c r="G20" s="216">
        <f ca="1">IF(G15&gt;0,G17/G15,0)</f>
        <v>0</v>
      </c>
      <c r="H20" s="216">
        <f ca="1">IF(H15&gt;0,H17/H15,0)</f>
        <v>0</v>
      </c>
      <c r="I20" s="216">
        <f ca="1">IF(I15&gt;0,I17/I15,0)</f>
        <v>0</v>
      </c>
      <c r="J20" s="216">
        <f ca="1">IF(J15&gt;0,J17/J15,0)</f>
        <v>0</v>
      </c>
      <c r="K20" s="204">
        <f ca="1">IF(K15&gt;0,K17/K15,0)</f>
        <v>0</v>
      </c>
      <c r="L20" s="187"/>
      <c r="M20" s="395" t="s">
        <v>22</v>
      </c>
      <c r="N20" s="396"/>
      <c r="O20" s="126">
        <f>(L17-300)/500</f>
        <v>0</v>
      </c>
      <c r="P20" s="127"/>
      <c r="Q20" s="204">
        <f ca="1">IF(Q15&gt;0,Q17/Q15,0)</f>
        <v>0</v>
      </c>
      <c r="T20" s="364"/>
      <c r="U20" s="363"/>
      <c r="V20" s="367"/>
      <c r="W20" s="367"/>
      <c r="X20" s="367"/>
      <c r="Y20" s="367"/>
      <c r="Z20" s="367"/>
      <c r="AA20" s="373" t="s">
        <v>22</v>
      </c>
      <c r="AB20" s="374"/>
      <c r="AC20" s="196">
        <f ca="1">IF(AD20,K20/AL8,K20)</f>
        <v>0</v>
      </c>
      <c r="AD20" s="197">
        <f>IF($AM$3=AE20,1,0)</f>
        <v>0</v>
      </c>
      <c r="AE20" s="91">
        <v>5</v>
      </c>
      <c r="AF20" s="28"/>
    </row>
    <row r="21" spans="1:34" ht="15" customHeight="1" thickBot="1" x14ac:dyDescent="0.3">
      <c r="D21" s="15"/>
      <c r="E21" s="39">
        <f ca="1">SUM(OFFSET(БД!$N:$N,,$A$2*2))</f>
        <v>0</v>
      </c>
      <c r="F21" s="217" t="s">
        <v>24</v>
      </c>
      <c r="G21" s="218">
        <f ca="1">G17-G18-G19</f>
        <v>0</v>
      </c>
      <c r="H21" s="218">
        <f t="shared" ref="H21:J21" ca="1" si="3">H17-H18-H19</f>
        <v>0</v>
      </c>
      <c r="I21" s="218">
        <f t="shared" ca="1" si="3"/>
        <v>0</v>
      </c>
      <c r="J21" s="218">
        <f t="shared" ca="1" si="3"/>
        <v>0</v>
      </c>
      <c r="K21" s="205">
        <f ca="1">K17-K18-K19</f>
        <v>0</v>
      </c>
      <c r="L21" s="60"/>
      <c r="M21" s="397" t="s">
        <v>24</v>
      </c>
      <c r="N21" s="398"/>
      <c r="O21" s="128" t="e">
        <f ca="1">(Q21-K21)/K21</f>
        <v>#DIV/0!</v>
      </c>
      <c r="P21" s="129" t="e">
        <f ca="1">IF((Q21-K21)&gt;0,"+","")&amp;TEXT(ROUND(Q21-K21,0),"# ##") &amp;"р."</f>
        <v>#DIV/0!</v>
      </c>
      <c r="Q21" s="205" t="e">
        <f ca="1">Q17-Q18-Q19</f>
        <v>#DIV/0!</v>
      </c>
      <c r="T21" s="365"/>
      <c r="U21" s="366"/>
      <c r="V21" s="368"/>
      <c r="W21" s="368"/>
      <c r="X21" s="368"/>
      <c r="Y21" s="368"/>
      <c r="Z21" s="368"/>
      <c r="AA21" s="369" t="s">
        <v>24</v>
      </c>
      <c r="AB21" s="370"/>
      <c r="AC21" s="198">
        <f ca="1">AC17-AC18-AC19</f>
        <v>0</v>
      </c>
      <c r="AD21" s="199"/>
      <c r="AE21" s="91"/>
      <c r="AF21" s="28"/>
    </row>
    <row r="22" spans="1:34" ht="18" customHeight="1" x14ac:dyDescent="0.25">
      <c r="D22" s="15"/>
      <c r="E22" s="39">
        <f ca="1">E19-E20-E21</f>
        <v>0</v>
      </c>
      <c r="F22" s="183"/>
      <c r="G22" s="20">
        <f ca="1">SUM(G10:G11,G13,G15,G17:G18)</f>
        <v>0</v>
      </c>
      <c r="H22" s="20">
        <f t="shared" ref="H22:J22" ca="1" si="4">SUM(H10:H11,H13,H15,H17:H18)</f>
        <v>0</v>
      </c>
      <c r="I22" s="20">
        <f t="shared" ca="1" si="4"/>
        <v>0</v>
      </c>
      <c r="J22" s="20">
        <f t="shared" ca="1" si="4"/>
        <v>0</v>
      </c>
      <c r="M22" s="402"/>
      <c r="N22" s="402"/>
      <c r="Y22" s="19"/>
      <c r="Z22" s="21"/>
      <c r="AA22" s="21"/>
      <c r="AB22" s="19"/>
      <c r="AC22" s="19"/>
      <c r="AD22" s="19"/>
      <c r="AE22" s="97"/>
    </row>
    <row r="23" spans="1:34" ht="46.5" customHeight="1" thickBot="1" x14ac:dyDescent="0.3">
      <c r="B23" s="4">
        <f>MAX(0,G23-3)</f>
        <v>0</v>
      </c>
      <c r="C23" s="4">
        <f>MAX(0,H23-3)</f>
        <v>0</v>
      </c>
      <c r="D23" s="4">
        <f>MAX(0,I23-3)</f>
        <v>0</v>
      </c>
      <c r="F23" s="33"/>
      <c r="G23" s="18">
        <f>($A$2-1)*4+1</f>
        <v>1</v>
      </c>
      <c r="H23" s="18">
        <f>($A$2-1)*4+2</f>
        <v>2</v>
      </c>
      <c r="I23" s="18">
        <f>($A$2-1)*4+3</f>
        <v>3</v>
      </c>
      <c r="J23" s="18">
        <f>($A$2-1)*4+4</f>
        <v>4</v>
      </c>
      <c r="K23" s="18"/>
      <c r="U23" s="22"/>
      <c r="V23" s="22"/>
      <c r="W23" s="22"/>
      <c r="X23" s="22"/>
      <c r="Y23" s="57"/>
      <c r="Z23" s="58"/>
      <c r="AA23" s="58"/>
      <c r="AB23" s="19"/>
      <c r="AC23" s="19"/>
      <c r="AD23" s="19"/>
      <c r="AE23" s="97"/>
    </row>
    <row r="24" spans="1:34" ht="27" customHeight="1" thickTop="1" x14ac:dyDescent="0.25">
      <c r="F24" s="342" t="s">
        <v>230</v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T24" s="177" t="s">
        <v>244</v>
      </c>
      <c r="U24" s="22"/>
      <c r="V24" s="59"/>
      <c r="W24" s="59"/>
      <c r="X24" s="29"/>
      <c r="Y24" s="29"/>
      <c r="Z24" s="29"/>
      <c r="AA24" s="29"/>
      <c r="AB24" s="30"/>
      <c r="AC24" s="24"/>
      <c r="AD24" s="24"/>
      <c r="AE24" s="98"/>
    </row>
    <row r="25" spans="1:34" ht="7.5" customHeight="1" thickBot="1" x14ac:dyDescent="0.3"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U25" s="22"/>
      <c r="V25" s="59"/>
      <c r="W25" s="59"/>
      <c r="X25" s="29"/>
      <c r="Y25" s="29"/>
      <c r="Z25" s="29"/>
      <c r="AA25" s="29"/>
      <c r="AB25" s="30"/>
      <c r="AC25" s="24"/>
      <c r="AD25" s="24"/>
      <c r="AE25" s="98"/>
    </row>
    <row r="26" spans="1:34" ht="33.75" customHeight="1" thickTop="1" x14ac:dyDescent="0.25">
      <c r="D26" s="25">
        <f t="shared" ref="D26:D32" si="5">G26</f>
        <v>35000</v>
      </c>
      <c r="F26" s="164" t="s">
        <v>39</v>
      </c>
      <c r="G26" s="391">
        <v>35000</v>
      </c>
      <c r="H26" s="391"/>
      <c r="I26" s="151">
        <f>VALUE(D26)</f>
        <v>35000</v>
      </c>
      <c r="J26" s="156"/>
      <c r="K26" s="156"/>
      <c r="L26" s="156"/>
      <c r="M26" s="156"/>
      <c r="N26" s="156"/>
      <c r="O26" s="156"/>
      <c r="P26" s="156"/>
      <c r="Q26" s="157"/>
      <c r="R26" s="22"/>
      <c r="S26" s="22"/>
      <c r="T26" s="174" t="s">
        <v>245</v>
      </c>
      <c r="U26" s="175"/>
      <c r="V26" s="173"/>
      <c r="W26" s="59"/>
      <c r="X26" s="361" t="str">
        <f>"Показы CTR рекламы "&amp;I32*100&amp;"%:   " &amp; IFERROR(INT(AB26),0)</f>
        <v>Показы CTR рекламы 6%:   5063</v>
      </c>
      <c r="Y26" s="361"/>
      <c r="Z26" s="361"/>
      <c r="AA26" s="361"/>
      <c r="AB26" s="170">
        <f>IF(I32=0,"нет",AB27/I32)</f>
        <v>5063.6574074074069</v>
      </c>
      <c r="AC26" s="24"/>
      <c r="AD26" s="24"/>
      <c r="AE26" s="98"/>
    </row>
    <row r="27" spans="1:34" ht="36" customHeight="1" x14ac:dyDescent="0.25">
      <c r="D27" s="25">
        <f t="shared" si="5"/>
        <v>5000</v>
      </c>
      <c r="F27" s="165" t="s">
        <v>40</v>
      </c>
      <c r="G27" s="378">
        <v>5000</v>
      </c>
      <c r="H27" s="378"/>
      <c r="I27" s="153">
        <f>VALUE(D27)</f>
        <v>5000</v>
      </c>
      <c r="J27" s="22"/>
      <c r="K27" s="22"/>
      <c r="L27" s="22"/>
      <c r="M27" s="22"/>
      <c r="N27" s="22"/>
      <c r="O27" s="22"/>
      <c r="P27" s="22"/>
      <c r="Q27" s="158"/>
      <c r="R27" s="22"/>
      <c r="S27" s="22"/>
      <c r="T27" s="176" t="s">
        <v>246</v>
      </c>
      <c r="U27" s="175"/>
      <c r="V27" s="59"/>
      <c r="W27" s="59"/>
      <c r="X27" s="28"/>
      <c r="Y27" s="361" t="str">
        <f>"Клики конверсия сайта "&amp;I29*100&amp;"%:   " &amp; IFERROR(INT(AB27),0)</f>
        <v>Клики конверсия сайта 12%:   303</v>
      </c>
      <c r="Z27" s="361"/>
      <c r="AA27" s="361"/>
      <c r="AB27" s="31">
        <f>IF(I29=0,"нет",AB28/I29)</f>
        <v>303.8194444444444</v>
      </c>
      <c r="AC27" s="24"/>
      <c r="AD27" s="24"/>
      <c r="AE27" s="98"/>
    </row>
    <row r="28" spans="1:34" ht="36.75" customHeight="1" x14ac:dyDescent="0.25">
      <c r="D28" s="25">
        <f t="shared" si="5"/>
        <v>3000</v>
      </c>
      <c r="F28" s="165" t="s">
        <v>41</v>
      </c>
      <c r="G28" s="378">
        <v>3000</v>
      </c>
      <c r="H28" s="378"/>
      <c r="I28" s="153">
        <f>VALUE(D28)</f>
        <v>3000</v>
      </c>
      <c r="J28" s="22"/>
      <c r="K28" s="22"/>
      <c r="L28" s="22"/>
      <c r="M28" s="22"/>
      <c r="N28" s="22"/>
      <c r="O28" s="22"/>
      <c r="P28" s="22"/>
      <c r="Q28" s="158"/>
      <c r="R28" s="22"/>
      <c r="S28" s="22"/>
      <c r="T28" s="175" t="s">
        <v>247</v>
      </c>
      <c r="U28" s="22"/>
      <c r="V28" s="59"/>
      <c r="W28" s="59"/>
      <c r="X28" s="28"/>
      <c r="Y28" s="28"/>
      <c r="Z28" s="361" t="str">
        <f>"Звонки отклик-догов. "&amp;I30*100&amp;"%:   " &amp; IFERROR(INT(AB28),0)</f>
        <v>Звонки отклик-догов. 80%:   36</v>
      </c>
      <c r="AA28" s="361"/>
      <c r="AB28" s="31">
        <f>IF(I30=0,"нет",AB29/I30)</f>
        <v>36.458333333333329</v>
      </c>
      <c r="AC28" s="24"/>
      <c r="AD28" s="24"/>
      <c r="AE28" s="98"/>
    </row>
    <row r="29" spans="1:34" ht="33.75" customHeight="1" x14ac:dyDescent="0.25">
      <c r="D29" s="25">
        <f t="shared" si="5"/>
        <v>12</v>
      </c>
      <c r="F29" s="165" t="s">
        <v>42</v>
      </c>
      <c r="G29" s="378">
        <v>12</v>
      </c>
      <c r="H29" s="378"/>
      <c r="I29" s="154">
        <f>VALUE(D29)/100</f>
        <v>0.12</v>
      </c>
      <c r="J29" s="22"/>
      <c r="K29" s="22"/>
      <c r="L29" s="22"/>
      <c r="M29" s="22"/>
      <c r="N29" s="22"/>
      <c r="O29" s="22"/>
      <c r="P29" s="22"/>
      <c r="Q29" s="158"/>
      <c r="T29" s="178" t="s">
        <v>248</v>
      </c>
      <c r="U29" s="22"/>
      <c r="V29" s="59"/>
      <c r="W29" s="59"/>
      <c r="X29" s="28"/>
      <c r="Y29" s="28"/>
      <c r="Z29" s="361" t="str">
        <f>"Договоры догов.-прод. "&amp;I31*100&amp;"%:   " &amp; IFERROR(INT(AB29),0)</f>
        <v>Договоры догов.-прод. 40%:   29</v>
      </c>
      <c r="AA29" s="361"/>
      <c r="AB29" s="31">
        <f>IF(I31=0,"нет",AB30/I31)</f>
        <v>29.166666666666664</v>
      </c>
      <c r="AC29" s="24"/>
      <c r="AD29" s="24"/>
      <c r="AE29" s="98"/>
    </row>
    <row r="30" spans="1:34" ht="33.75" customHeight="1" x14ac:dyDescent="0.25">
      <c r="D30" s="25">
        <f t="shared" si="5"/>
        <v>80</v>
      </c>
      <c r="F30" s="165" t="s">
        <v>137</v>
      </c>
      <c r="G30" s="378">
        <v>80</v>
      </c>
      <c r="H30" s="378"/>
      <c r="I30" s="154">
        <f>VALUE(D30)/100</f>
        <v>0.8</v>
      </c>
      <c r="J30" s="22"/>
      <c r="K30" s="22"/>
      <c r="L30" s="22"/>
      <c r="M30" s="22"/>
      <c r="N30" s="22"/>
      <c r="O30" s="22"/>
      <c r="P30" s="22"/>
      <c r="Q30" s="158"/>
      <c r="S30" s="26"/>
      <c r="T30" s="179" t="s">
        <v>249</v>
      </c>
      <c r="U30" s="180"/>
      <c r="V30" s="181"/>
      <c r="W30" s="181"/>
      <c r="X30" s="182"/>
      <c r="Y30" s="182"/>
      <c r="Z30" s="182"/>
      <c r="AA30" s="172" t="str">
        <f>"Продажи:   " &amp; IFERROR(INT(AB30),0)</f>
        <v>Продажи:   11</v>
      </c>
      <c r="AB30" s="31">
        <f>IF(AB31=0,"нет",AB32/AB31)</f>
        <v>11.666666666666666</v>
      </c>
      <c r="AC30" s="24"/>
      <c r="AD30" s="24"/>
      <c r="AE30" s="98"/>
    </row>
    <row r="31" spans="1:34" ht="33.75" customHeight="1" x14ac:dyDescent="0.25">
      <c r="D31" s="25">
        <f t="shared" si="5"/>
        <v>40</v>
      </c>
      <c r="F31" s="165" t="s">
        <v>43</v>
      </c>
      <c r="G31" s="378">
        <v>40</v>
      </c>
      <c r="H31" s="378"/>
      <c r="I31" s="154">
        <f>VALUE(D31)/100</f>
        <v>0.4</v>
      </c>
      <c r="J31" s="22"/>
      <c r="K31" s="22"/>
      <c r="L31" s="22"/>
      <c r="M31" s="22"/>
      <c r="N31" s="22"/>
      <c r="O31" s="22"/>
      <c r="P31" s="22"/>
      <c r="Q31" s="158"/>
      <c r="T31" s="382" t="s">
        <v>250</v>
      </c>
      <c r="U31" s="382"/>
      <c r="V31" s="382"/>
      <c r="W31" s="382"/>
      <c r="X31" s="382"/>
      <c r="Y31" s="382"/>
      <c r="Z31" s="382"/>
      <c r="AA31" s="172" t="str">
        <f>"Ср. прибыль с 1 продажи:   " &amp; IFERROR(INT(AB31),0)</f>
        <v>Ср. прибыль с 1 продажи:   3000</v>
      </c>
      <c r="AB31" s="171">
        <f>I28</f>
        <v>3000</v>
      </c>
      <c r="AC31" s="24"/>
      <c r="AD31" s="24"/>
      <c r="AE31" s="98"/>
    </row>
    <row r="32" spans="1:34" ht="33.75" customHeight="1" x14ac:dyDescent="0.25">
      <c r="D32" s="25">
        <f t="shared" si="5"/>
        <v>6</v>
      </c>
      <c r="F32" s="165" t="s">
        <v>44</v>
      </c>
      <c r="G32" s="378">
        <v>6</v>
      </c>
      <c r="H32" s="378"/>
      <c r="I32" s="154">
        <f>VALUE(D32)/100</f>
        <v>0.06</v>
      </c>
      <c r="J32" s="22"/>
      <c r="K32" s="22"/>
      <c r="L32" s="22"/>
      <c r="M32" s="22"/>
      <c r="N32" s="22"/>
      <c r="O32" s="22"/>
      <c r="P32" s="22"/>
      <c r="Q32" s="158"/>
      <c r="T32" s="382"/>
      <c r="U32" s="382"/>
      <c r="V32" s="382"/>
      <c r="W32" s="382"/>
      <c r="X32" s="382"/>
      <c r="Y32" s="382"/>
      <c r="Z32" s="382"/>
      <c r="AA32" s="377" t="str">
        <f>"Денег до вычета:   
" &amp; IFERROR(INT(AB32),0)</f>
        <v>Денег до вычета:   
35000</v>
      </c>
      <c r="AB32" s="360">
        <f>I26</f>
        <v>35000</v>
      </c>
      <c r="AC32" s="24"/>
      <c r="AD32" s="24"/>
      <c r="AE32" s="98"/>
    </row>
    <row r="33" spans="4:45" ht="21" customHeight="1" x14ac:dyDescent="0.25">
      <c r="D33" s="25"/>
      <c r="F33" s="380"/>
      <c r="G33" s="381"/>
      <c r="H33" s="381"/>
      <c r="I33" s="155"/>
      <c r="J33" s="22"/>
      <c r="K33" s="22"/>
      <c r="L33" s="22"/>
      <c r="M33" s="22"/>
      <c r="N33" s="22"/>
      <c r="O33" s="22"/>
      <c r="P33" s="22"/>
      <c r="Q33" s="158"/>
      <c r="T33" s="382"/>
      <c r="U33" s="382"/>
      <c r="V33" s="382"/>
      <c r="W33" s="382"/>
      <c r="X33" s="382"/>
      <c r="Y33" s="382"/>
      <c r="Z33" s="382"/>
      <c r="AA33" s="377"/>
      <c r="AB33" s="360"/>
      <c r="AC33" s="24"/>
      <c r="AD33" s="24"/>
      <c r="AE33" s="98"/>
    </row>
    <row r="34" spans="4:45" ht="33.75" customHeight="1" x14ac:dyDescent="0.25">
      <c r="D34" s="25">
        <f>G34</f>
        <v>10</v>
      </c>
      <c r="F34" s="152" t="s">
        <v>45</v>
      </c>
      <c r="G34" s="378">
        <v>10</v>
      </c>
      <c r="H34" s="378"/>
      <c r="I34" s="153">
        <f>VALUE(D34)</f>
        <v>10</v>
      </c>
      <c r="J34" s="159"/>
      <c r="K34" s="22"/>
      <c r="L34" s="22"/>
      <c r="M34" s="22"/>
      <c r="N34" s="22"/>
      <c r="O34" s="22"/>
      <c r="P34" s="22"/>
      <c r="Q34" s="158"/>
      <c r="T34" s="382"/>
      <c r="U34" s="382"/>
      <c r="V34" s="382"/>
      <c r="W34" s="382"/>
      <c r="X34" s="382"/>
      <c r="Y34" s="382"/>
      <c r="Z34" s="382"/>
      <c r="AA34" s="172" t="str">
        <f>"Затраты на рекламу:   
" &amp; IFERROR(INT(AB34),0)</f>
        <v>Затраты на рекламу:   
2126</v>
      </c>
      <c r="AB34" s="31">
        <f>IF(I34=0,"0",AB27*I34*I35)</f>
        <v>2126.7361111111104</v>
      </c>
      <c r="AC34" s="24"/>
      <c r="AD34" s="24"/>
      <c r="AE34" s="98"/>
    </row>
    <row r="35" spans="4:45" ht="33.75" customHeight="1" x14ac:dyDescent="0.25">
      <c r="D35" s="25">
        <f>G35</f>
        <v>70</v>
      </c>
      <c r="F35" s="163" t="s">
        <v>46</v>
      </c>
      <c r="G35" s="379">
        <v>70</v>
      </c>
      <c r="H35" s="379"/>
      <c r="I35" s="160">
        <f>VALUE(D35/100)</f>
        <v>0.7</v>
      </c>
      <c r="J35" s="161"/>
      <c r="K35" s="161"/>
      <c r="L35" s="161"/>
      <c r="M35" s="161"/>
      <c r="N35" s="161"/>
      <c r="O35" s="161"/>
      <c r="P35" s="161"/>
      <c r="Q35" s="162"/>
      <c r="T35" s="382"/>
      <c r="U35" s="382"/>
      <c r="V35" s="382"/>
      <c r="W35" s="382"/>
      <c r="X35" s="382"/>
      <c r="Y35" s="382"/>
      <c r="Z35" s="382"/>
      <c r="AA35" s="172" t="str">
        <f>"Останется чистыми:   
" &amp; IFERROR(INT(AB35),0)</f>
        <v>Останется чистыми:   
32873</v>
      </c>
      <c r="AB35" s="32">
        <f>IF(AB32=0,"0",AB32-AB34)</f>
        <v>32873.263888888891</v>
      </c>
      <c r="AC35" s="24"/>
      <c r="AD35" s="24"/>
      <c r="AE35" s="98"/>
    </row>
    <row r="36" spans="4:45" ht="15" customHeight="1" x14ac:dyDescent="0.25">
      <c r="F36" s="375"/>
      <c r="G36" s="375"/>
      <c r="H36" s="375"/>
      <c r="O36" s="376"/>
      <c r="P36" s="376"/>
      <c r="V36" s="23"/>
      <c r="W36" s="23"/>
      <c r="X36" s="169"/>
      <c r="Y36" s="169"/>
      <c r="Z36" s="169"/>
      <c r="AA36" s="169"/>
      <c r="AB36" s="30"/>
      <c r="AC36" s="24"/>
      <c r="AD36" s="24"/>
      <c r="AE36" s="98"/>
    </row>
    <row r="37" spans="4:45" ht="15" customHeight="1" x14ac:dyDescent="0.25">
      <c r="I37" s="390"/>
      <c r="J37" s="390"/>
      <c r="K37" s="390"/>
      <c r="L37" s="390"/>
      <c r="M37" s="390"/>
      <c r="N37" s="390"/>
      <c r="O37" s="390"/>
      <c r="P37" s="390"/>
      <c r="Q37" s="55"/>
      <c r="R37" s="55"/>
      <c r="S37" s="55"/>
      <c r="T37" s="55"/>
      <c r="U37" s="55"/>
      <c r="V37" s="55"/>
      <c r="W37" s="55"/>
      <c r="X37" s="55"/>
      <c r="Y37" s="55"/>
      <c r="Z37" s="23"/>
      <c r="AA37" s="23"/>
      <c r="AB37" s="24"/>
      <c r="AC37" s="24"/>
      <c r="AD37" s="24"/>
      <c r="AE37" s="98"/>
    </row>
    <row r="38" spans="4:45" ht="15" x14ac:dyDescent="0.25">
      <c r="F38" s="27"/>
      <c r="G38" s="27"/>
      <c r="H38" s="27"/>
      <c r="I38" s="390"/>
      <c r="J38" s="390"/>
      <c r="K38" s="390"/>
      <c r="L38" s="390"/>
      <c r="M38" s="390"/>
      <c r="N38" s="390"/>
      <c r="O38" s="390"/>
      <c r="P38" s="390"/>
      <c r="Q38" s="55"/>
      <c r="R38" s="55"/>
      <c r="S38" s="55"/>
      <c r="T38" s="55"/>
      <c r="U38" s="55"/>
      <c r="V38" s="55"/>
      <c r="W38" s="55"/>
      <c r="X38" s="55"/>
      <c r="Y38" s="55"/>
      <c r="Z38" s="27"/>
      <c r="AA38" s="27"/>
      <c r="AB38" s="27"/>
      <c r="AC38" s="27"/>
      <c r="AD38" s="27"/>
    </row>
    <row r="39" spans="4:45" ht="33" customHeight="1" x14ac:dyDescent="0.25">
      <c r="I39" s="390"/>
      <c r="J39" s="390"/>
      <c r="K39" s="390"/>
      <c r="L39" s="390"/>
      <c r="M39" s="390"/>
      <c r="N39" s="390"/>
      <c r="O39" s="390"/>
      <c r="P39" s="390"/>
    </row>
    <row r="40" spans="4:45" ht="48" customHeight="1" x14ac:dyDescent="0.25"/>
    <row r="41" spans="4:45" ht="273.75" customHeight="1" x14ac:dyDescent="0.25"/>
    <row r="42" spans="4:45" ht="15" hidden="1" x14ac:dyDescent="0.25"/>
    <row r="43" spans="4:45" ht="15.75" hidden="1" thickBot="1" x14ac:dyDescent="0.3">
      <c r="F43" s="66" t="s">
        <v>135</v>
      </c>
      <c r="G43" s="67" t="s">
        <v>139</v>
      </c>
      <c r="H43" s="67" t="s">
        <v>140</v>
      </c>
      <c r="I43" s="67" t="s">
        <v>141</v>
      </c>
      <c r="J43" s="67" t="s">
        <v>142</v>
      </c>
      <c r="K43" s="67" t="s">
        <v>108</v>
      </c>
      <c r="L43" s="67" t="s">
        <v>143</v>
      </c>
      <c r="M43" s="67" t="s">
        <v>144</v>
      </c>
      <c r="N43" s="67" t="s">
        <v>145</v>
      </c>
      <c r="O43" s="67" t="s">
        <v>146</v>
      </c>
      <c r="P43" s="67" t="s">
        <v>147</v>
      </c>
      <c r="Q43" s="67" t="s">
        <v>148</v>
      </c>
      <c r="R43" s="76" t="s">
        <v>149</v>
      </c>
    </row>
    <row r="44" spans="4:45" ht="15" hidden="1" x14ac:dyDescent="0.25">
      <c r="F44" s="68" t="s">
        <v>150</v>
      </c>
      <c r="G44" s="69">
        <f ca="1">IFERROR(Статистика!BX19,0)</f>
        <v>0</v>
      </c>
      <c r="H44" s="69">
        <f ca="1">IFERROR(Статистика!BY19,0)</f>
        <v>0</v>
      </c>
      <c r="I44" s="69">
        <f ca="1">IFERROR(Статистика!BZ19,0)</f>
        <v>0</v>
      </c>
      <c r="J44" s="69">
        <f ca="1">IFERROR(Статистика!CA19,0)</f>
        <v>0</v>
      </c>
      <c r="K44" s="69">
        <f ca="1">IFERROR(Статистика!CB19,0)</f>
        <v>0</v>
      </c>
      <c r="L44" s="69">
        <f ca="1">IFERROR(Статистика!CC19,0)</f>
        <v>0</v>
      </c>
      <c r="M44" s="69">
        <f ca="1">IFERROR(Статистика!CD19,0)</f>
        <v>0</v>
      </c>
      <c r="N44" s="69">
        <f ca="1">IFERROR(Статистика!CE19,0)</f>
        <v>0</v>
      </c>
      <c r="O44" s="69">
        <f ca="1">IFERROR(Статистика!CF19,0)</f>
        <v>0</v>
      </c>
      <c r="P44" s="69">
        <f ca="1">IFERROR(Статистика!CG19,0)</f>
        <v>0</v>
      </c>
      <c r="Q44" s="69">
        <f ca="1">IFERROR(Статистика!CH19,0)</f>
        <v>0</v>
      </c>
      <c r="R44" s="74">
        <f ca="1">IFERROR(Статистика!CI19,0)</f>
        <v>0</v>
      </c>
    </row>
    <row r="45" spans="4:45" ht="15" hidden="1" x14ac:dyDescent="0.25">
      <c r="F45" s="70" t="s">
        <v>151</v>
      </c>
      <c r="G45" s="71">
        <f>G5</f>
        <v>0</v>
      </c>
      <c r="H45" s="71">
        <f>I5</f>
        <v>0</v>
      </c>
      <c r="I45" s="71">
        <f>K5</f>
        <v>0</v>
      </c>
      <c r="J45" s="71">
        <f>L5</f>
        <v>0</v>
      </c>
      <c r="K45" s="71">
        <f>N5</f>
        <v>0</v>
      </c>
      <c r="L45" s="71">
        <f>P5</f>
        <v>0</v>
      </c>
      <c r="M45" s="71">
        <f>R5</f>
        <v>0</v>
      </c>
      <c r="N45" s="71">
        <f>U5</f>
        <v>0</v>
      </c>
      <c r="O45" s="71">
        <f>V5</f>
        <v>0</v>
      </c>
      <c r="P45" s="71">
        <f>Y5</f>
        <v>0</v>
      </c>
      <c r="Q45" s="71">
        <f>AA5</f>
        <v>0</v>
      </c>
      <c r="R45" s="75">
        <f t="shared" ref="R45" si="6">AC5</f>
        <v>0</v>
      </c>
    </row>
    <row r="46" spans="4:45" ht="15" hidden="1" x14ac:dyDescent="0.25"/>
    <row r="47" spans="4:45" s="16" customFormat="1" ht="15" hidden="1" x14ac:dyDescent="0.25">
      <c r="E47" s="3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33"/>
      <c r="AF47" s="77"/>
      <c r="AG47" s="77"/>
      <c r="AH47" s="77"/>
      <c r="AI47" s="77"/>
      <c r="AJ47" s="77"/>
      <c r="AK47" s="77"/>
      <c r="AL47" s="77"/>
      <c r="AM47" s="33"/>
      <c r="AN47" s="33"/>
      <c r="AO47" s="56"/>
      <c r="AP47" s="56"/>
      <c r="AQ47" s="56"/>
      <c r="AR47" s="56"/>
      <c r="AS47" s="56"/>
    </row>
  </sheetData>
  <sheetProtection password="EA4E" sheet="1" objects="1" scenarios="1"/>
  <mergeCells count="93">
    <mergeCell ref="M22:N22"/>
    <mergeCell ref="AC3:AD3"/>
    <mergeCell ref="AC4:AD4"/>
    <mergeCell ref="R3:T3"/>
    <mergeCell ref="R4:T4"/>
    <mergeCell ref="R5:T5"/>
    <mergeCell ref="Y3:Z3"/>
    <mergeCell ref="AA4:AB4"/>
    <mergeCell ref="AA5:AB5"/>
    <mergeCell ref="Y4:Z4"/>
    <mergeCell ref="V4:X4"/>
    <mergeCell ref="V5:X5"/>
    <mergeCell ref="Y5:Z5"/>
    <mergeCell ref="V3:X3"/>
    <mergeCell ref="AA3:AB3"/>
    <mergeCell ref="L3:M3"/>
    <mergeCell ref="G3:H3"/>
    <mergeCell ref="G4:H4"/>
    <mergeCell ref="I4:J4"/>
    <mergeCell ref="G5:H5"/>
    <mergeCell ref="I5:J5"/>
    <mergeCell ref="I3:J3"/>
    <mergeCell ref="N3:O3"/>
    <mergeCell ref="L4:M4"/>
    <mergeCell ref="L5:M5"/>
    <mergeCell ref="P3:Q3"/>
    <mergeCell ref="N4:O4"/>
    <mergeCell ref="N5:O5"/>
    <mergeCell ref="P5:Q5"/>
    <mergeCell ref="P4:Q4"/>
    <mergeCell ref="M8:Q8"/>
    <mergeCell ref="I37:P39"/>
    <mergeCell ref="G26:H26"/>
    <mergeCell ref="G27:H27"/>
    <mergeCell ref="G28:H28"/>
    <mergeCell ref="G29:H29"/>
    <mergeCell ref="G30:H30"/>
    <mergeCell ref="M9:N9"/>
    <mergeCell ref="M10:N10"/>
    <mergeCell ref="M11:N11"/>
    <mergeCell ref="M12:N12"/>
    <mergeCell ref="M13:N13"/>
    <mergeCell ref="M20:N20"/>
    <mergeCell ref="M21:N21"/>
    <mergeCell ref="M14:N14"/>
    <mergeCell ref="M15:N15"/>
    <mergeCell ref="AA12:AB12"/>
    <mergeCell ref="AA13:AB13"/>
    <mergeCell ref="AA14:AB14"/>
    <mergeCell ref="AI8:AJ8"/>
    <mergeCell ref="AI4:AJ4"/>
    <mergeCell ref="AI5:AJ5"/>
    <mergeCell ref="AI6:AJ6"/>
    <mergeCell ref="AI7:AJ7"/>
    <mergeCell ref="AC9:AD9"/>
    <mergeCell ref="AC5:AD5"/>
    <mergeCell ref="T8:AD8"/>
    <mergeCell ref="F36:H36"/>
    <mergeCell ref="O36:P36"/>
    <mergeCell ref="Z28:AA28"/>
    <mergeCell ref="Z29:AA29"/>
    <mergeCell ref="AA32:AA33"/>
    <mergeCell ref="G31:H31"/>
    <mergeCell ref="G32:H32"/>
    <mergeCell ref="G34:H34"/>
    <mergeCell ref="G35:H35"/>
    <mergeCell ref="F33:H33"/>
    <mergeCell ref="T31:Z35"/>
    <mergeCell ref="AB32:AB33"/>
    <mergeCell ref="X26:AA26"/>
    <mergeCell ref="Y27:AA27"/>
    <mergeCell ref="T18:U21"/>
    <mergeCell ref="V18:Z21"/>
    <mergeCell ref="AA21:AB21"/>
    <mergeCell ref="AA18:AB18"/>
    <mergeCell ref="AA19:AB19"/>
    <mergeCell ref="AA20:AB20"/>
    <mergeCell ref="F7:K7"/>
    <mergeCell ref="M7:Q7"/>
    <mergeCell ref="T7:AD7"/>
    <mergeCell ref="F24:Q24"/>
    <mergeCell ref="N1:P2"/>
    <mergeCell ref="AA15:AB15"/>
    <mergeCell ref="AA16:AB16"/>
    <mergeCell ref="AA17:AB17"/>
    <mergeCell ref="AA9:AB9"/>
    <mergeCell ref="AA10:AB10"/>
    <mergeCell ref="AA11:AB11"/>
    <mergeCell ref="M16:N16"/>
    <mergeCell ref="M17:N17"/>
    <mergeCell ref="M18:N18"/>
    <mergeCell ref="M19:N19"/>
    <mergeCell ref="P9:Q9"/>
  </mergeCells>
  <conditionalFormatting sqref="G6:R6 L9 G8:M8 L7 P10:P20 R8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O10:O2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O21">
    <cfRule type="iconSet" priority="6">
      <iconSet iconSet="3Arrows">
        <cfvo type="percent" val="0"/>
        <cfvo type="num" val="0"/>
        <cfvo type="num" val="0" gte="0"/>
      </iconSet>
    </cfRule>
  </conditionalFormatting>
  <hyperlinks>
    <hyperlink ref="T26" r:id="rId1"/>
    <hyperlink ref="T27" r:id="rId2"/>
    <hyperlink ref="T29" r:id="rId3"/>
  </hyperlinks>
  <pageMargins left="0.7" right="0.7" top="0.75" bottom="0.75" header="0.3" footer="0.3"/>
  <pageSetup paperSize="9" orientation="portrait" r:id="rId4"/>
  <ignoredErrors>
    <ignoredError sqref="AM8 AI5 AI7 AC11:AC14 AC16:AC17 AC21 AK8:AL8 AH14:AJ17 AG15" evalError="1"/>
    <ignoredError sqref="G12:K12 G14:K14 G16:K16 Q15 G15:K15" formula="1"/>
    <ignoredError sqref="AC15" evalError="1" formula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7" name="Scroll Bar 4">
              <controlPr defaultSize="0" autoPict="0">
                <anchor moveWithCells="1">
                  <from>
                    <xdr:col>8</xdr:col>
                    <xdr:colOff>19050</xdr:colOff>
                    <xdr:row>28</xdr:row>
                    <xdr:rowOff>38100</xdr:rowOff>
                  </from>
                  <to>
                    <xdr:col>8</xdr:col>
                    <xdr:colOff>561975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Scroll Bar 5">
              <controlPr defaultSize="0" autoPict="0">
                <anchor moveWithCells="1">
                  <from>
                    <xdr:col>8</xdr:col>
                    <xdr:colOff>19050</xdr:colOff>
                    <xdr:row>29</xdr:row>
                    <xdr:rowOff>38100</xdr:rowOff>
                  </from>
                  <to>
                    <xdr:col>8</xdr:col>
                    <xdr:colOff>561975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Scroll Bar 6">
              <controlPr defaultSize="0" autoPict="0">
                <anchor moveWithCells="1">
                  <from>
                    <xdr:col>8</xdr:col>
                    <xdr:colOff>28575</xdr:colOff>
                    <xdr:row>30</xdr:row>
                    <xdr:rowOff>38100</xdr:rowOff>
                  </from>
                  <to>
                    <xdr:col>8</xdr:col>
                    <xdr:colOff>561975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Scroll Bar 7">
              <controlPr defaultSize="0" autoPict="0">
                <anchor moveWithCells="1">
                  <from>
                    <xdr:col>8</xdr:col>
                    <xdr:colOff>28575</xdr:colOff>
                    <xdr:row>31</xdr:row>
                    <xdr:rowOff>47625</xdr:rowOff>
                  </from>
                  <to>
                    <xdr:col>8</xdr:col>
                    <xdr:colOff>561975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Scroll Bar 8">
              <controlPr defaultSize="0" autoPict="0">
                <anchor moveWithCells="1">
                  <from>
                    <xdr:col>8</xdr:col>
                    <xdr:colOff>38100</xdr:colOff>
                    <xdr:row>34</xdr:row>
                    <xdr:rowOff>47625</xdr:rowOff>
                  </from>
                  <to>
                    <xdr:col>8</xdr:col>
                    <xdr:colOff>552450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2" name="Drop Down 36">
              <controlPr defaultSize="0" autoLine="0" autoPict="0">
                <anchor moveWithCells="1">
                  <from>
                    <xdr:col>16</xdr:col>
                    <xdr:colOff>9525</xdr:colOff>
                    <xdr:row>1</xdr:row>
                    <xdr:rowOff>19050</xdr:rowOff>
                  </from>
                  <to>
                    <xdr:col>19</xdr:col>
                    <xdr:colOff>133350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3" name="Scroll Bar 38">
              <controlPr defaultSize="0" autoPict="0">
                <anchor moveWithCells="1">
                  <from>
                    <xdr:col>15</xdr:col>
                    <xdr:colOff>76200</xdr:colOff>
                    <xdr:row>9</xdr:row>
                    <xdr:rowOff>9525</xdr:rowOff>
                  </from>
                  <to>
                    <xdr:col>15</xdr:col>
                    <xdr:colOff>466725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4" name="Scroll Bar 39">
              <controlPr defaultSize="0" autoPict="0">
                <anchor moveWithCells="1">
                  <from>
                    <xdr:col>15</xdr:col>
                    <xdr:colOff>76200</xdr:colOff>
                    <xdr:row>10</xdr:row>
                    <xdr:rowOff>9525</xdr:rowOff>
                  </from>
                  <to>
                    <xdr:col>15</xdr:col>
                    <xdr:colOff>457200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5" name="Scroll Bar 40">
              <controlPr defaultSize="0" autoPict="0">
                <anchor moveWithCells="1">
                  <from>
                    <xdr:col>15</xdr:col>
                    <xdr:colOff>76200</xdr:colOff>
                    <xdr:row>12</xdr:row>
                    <xdr:rowOff>9525</xdr:rowOff>
                  </from>
                  <to>
                    <xdr:col>15</xdr:col>
                    <xdr:colOff>466725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6" name="Scroll Bar 41">
              <controlPr defaultSize="0" autoPict="0">
                <anchor moveWithCells="1">
                  <from>
                    <xdr:col>15</xdr:col>
                    <xdr:colOff>95250</xdr:colOff>
                    <xdr:row>14</xdr:row>
                    <xdr:rowOff>9525</xdr:rowOff>
                  </from>
                  <to>
                    <xdr:col>15</xdr:col>
                    <xdr:colOff>457200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7" name="Scroll Bar 42">
              <controlPr defaultSize="0" autoPict="0">
                <anchor moveWithCells="1">
                  <from>
                    <xdr:col>15</xdr:col>
                    <xdr:colOff>85725</xdr:colOff>
                    <xdr:row>19</xdr:row>
                    <xdr:rowOff>9525</xdr:rowOff>
                  </from>
                  <to>
                    <xdr:col>15</xdr:col>
                    <xdr:colOff>457200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8" name="Scroll Bar 44">
              <controlPr defaultSize="0" autoPict="0">
                <anchor moveWithCells="1">
                  <from>
                    <xdr:col>15</xdr:col>
                    <xdr:colOff>85725</xdr:colOff>
                    <xdr:row>18</xdr:row>
                    <xdr:rowOff>9525</xdr:rowOff>
                  </from>
                  <to>
                    <xdr:col>15</xdr:col>
                    <xdr:colOff>466725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19" name="Option Button 80">
              <controlPr defaultSize="0" autoFill="0" autoLine="0" autoPict="0">
                <anchor moveWithCells="1">
                  <from>
                    <xdr:col>5</xdr:col>
                    <xdr:colOff>685800</xdr:colOff>
                    <xdr:row>7</xdr:row>
                    <xdr:rowOff>19050</xdr:rowOff>
                  </from>
                  <to>
                    <xdr:col>7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0" name="Option Button 81">
              <controlPr defaultSize="0" autoFill="0" autoLine="0" autoPict="0">
                <anchor moveWithCells="1">
                  <from>
                    <xdr:col>7</xdr:col>
                    <xdr:colOff>533400</xdr:colOff>
                    <xdr:row>7</xdr:row>
                    <xdr:rowOff>19050</xdr:rowOff>
                  </from>
                  <to>
                    <xdr:col>9</xdr:col>
                    <xdr:colOff>438150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tableParts count="1">
    <tablePart r:id="rId2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DA8EE7E-1A06-4623-9AB9-B7013D229C57}">
            <xm:f>NOT(ISERROR(SEARCH("-",P21)))</xm:f>
            <xm:f>"-"</xm:f>
            <x14:dxf>
              <font>
                <color rgb="FFFF0000"/>
              </font>
            </x14:dxf>
          </x14:cfRule>
          <x14:cfRule type="containsText" priority="2" operator="containsText" id="{DE0548B5-8705-4641-9522-A56583D83815}">
            <xm:f>NOT(ISERROR(SEARCH("+",P21)))</xm:f>
            <xm:f>"+"</xm:f>
            <x14:dxf>
              <font>
                <color rgb="FF00B050"/>
              </font>
            </x14:dxf>
          </x14:cfRule>
          <xm:sqref>P21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L817"/>
  <sheetViews>
    <sheetView workbookViewId="0">
      <selection activeCell="O18" sqref="O18"/>
    </sheetView>
  </sheetViews>
  <sheetFormatPr defaultRowHeight="15" x14ac:dyDescent="0.25"/>
  <cols>
    <col min="1" max="1" width="19" customWidth="1"/>
    <col min="15" max="15" width="15.7109375" customWidth="1"/>
  </cols>
  <sheetData>
    <row r="1" spans="1:38" x14ac:dyDescent="0.25">
      <c r="K1" s="10" t="s">
        <v>100</v>
      </c>
      <c r="O1" s="407" t="s">
        <v>104</v>
      </c>
      <c r="P1" s="407"/>
      <c r="Q1" s="407" t="s">
        <v>105</v>
      </c>
      <c r="R1" s="407"/>
      <c r="S1" s="407" t="s">
        <v>106</v>
      </c>
      <c r="T1" s="407"/>
      <c r="U1" s="407" t="s">
        <v>107</v>
      </c>
      <c r="V1" s="407"/>
      <c r="W1" s="407" t="s">
        <v>108</v>
      </c>
      <c r="X1" s="407"/>
      <c r="Y1" s="407" t="s">
        <v>109</v>
      </c>
      <c r="Z1" s="407"/>
      <c r="AA1" s="407" t="s">
        <v>110</v>
      </c>
      <c r="AB1" s="407"/>
      <c r="AC1" s="407" t="s">
        <v>111</v>
      </c>
      <c r="AD1" s="407"/>
      <c r="AE1" s="407" t="s">
        <v>112</v>
      </c>
      <c r="AF1" s="407"/>
      <c r="AG1" s="407" t="s">
        <v>113</v>
      </c>
      <c r="AH1" s="407"/>
      <c r="AI1" s="407" t="s">
        <v>114</v>
      </c>
      <c r="AJ1" s="407"/>
      <c r="AK1" s="407" t="s">
        <v>115</v>
      </c>
      <c r="AL1" s="407"/>
    </row>
    <row r="2" spans="1:38" x14ac:dyDescent="0.25">
      <c r="A2" s="9" t="str">
        <f>VLOOKUP(INT((ROW()-1)/17)+1,Справочник!A:D,3,0)</f>
        <v>Январь неделя 1 (01-10 янв.)</v>
      </c>
      <c r="B2" s="9">
        <f>'Учет данных'!B4</f>
        <v>0</v>
      </c>
      <c r="C2" s="9">
        <f>'Учет данных'!C4</f>
        <v>0</v>
      </c>
      <c r="D2" s="9">
        <f>'Учет данных'!D4</f>
        <v>0</v>
      </c>
      <c r="E2" s="9">
        <f>'Учет данных'!E4</f>
        <v>0</v>
      </c>
      <c r="F2" s="9">
        <f>'Учет данных'!F4</f>
        <v>0</v>
      </c>
      <c r="G2" s="9">
        <f>'Учет данных'!G4</f>
        <v>0</v>
      </c>
      <c r="H2" s="9">
        <f>'Учет данных'!H4</f>
        <v>0</v>
      </c>
      <c r="I2" s="9">
        <f>'Учет данных'!I4</f>
        <v>0</v>
      </c>
      <c r="J2" s="9">
        <f>'Учет данных'!J4</f>
        <v>0</v>
      </c>
      <c r="K2" s="9">
        <f>'Учет данных'!K4</f>
        <v>0</v>
      </c>
      <c r="N2">
        <v>1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1" t="s">
        <v>0</v>
      </c>
      <c r="C3" s="7"/>
      <c r="D3" s="7"/>
      <c r="E3" s="7"/>
      <c r="F3" s="7"/>
      <c r="G3" s="7"/>
      <c r="H3" s="7"/>
      <c r="I3" s="7"/>
      <c r="J3" s="7"/>
      <c r="K3" s="7">
        <f>SUM(B3:J3)</f>
        <v>0</v>
      </c>
      <c r="N3">
        <v>2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" t="s">
        <v>1</v>
      </c>
      <c r="C4" s="7"/>
      <c r="D4" s="7"/>
      <c r="E4" s="7"/>
      <c r="F4" s="7"/>
      <c r="G4" s="7"/>
      <c r="H4" s="7"/>
      <c r="I4" s="7"/>
      <c r="J4" s="7"/>
      <c r="K4" s="7">
        <f t="shared" ref="K4:K7" si="0">SUM(B4:J4)</f>
        <v>0</v>
      </c>
      <c r="N4">
        <v>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" t="s">
        <v>2</v>
      </c>
      <c r="D5" s="7"/>
      <c r="E5" s="7"/>
      <c r="F5" s="7"/>
      <c r="G5" s="7"/>
      <c r="H5" s="7"/>
      <c r="I5" s="7"/>
      <c r="J5" s="7"/>
      <c r="K5" s="7">
        <f t="shared" si="0"/>
        <v>0</v>
      </c>
      <c r="N5">
        <v>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x14ac:dyDescent="0.25">
      <c r="A6" s="1" t="s">
        <v>3</v>
      </c>
      <c r="C6" s="7"/>
      <c r="D6" s="7"/>
      <c r="E6" s="7"/>
      <c r="F6" s="7"/>
      <c r="G6" s="7"/>
      <c r="H6" s="7"/>
      <c r="I6" s="7"/>
      <c r="J6" s="7"/>
      <c r="K6" s="7">
        <f t="shared" si="0"/>
        <v>0</v>
      </c>
      <c r="N6">
        <v>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" t="s">
        <v>4</v>
      </c>
      <c r="C7" s="7"/>
      <c r="D7" s="7"/>
      <c r="E7" s="7"/>
      <c r="F7" s="7"/>
      <c r="G7" s="7"/>
      <c r="H7" s="7"/>
      <c r="I7" s="7"/>
      <c r="J7" s="7"/>
      <c r="K7" s="7">
        <f t="shared" si="0"/>
        <v>0</v>
      </c>
      <c r="N7">
        <v>6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" t="s">
        <v>5</v>
      </c>
      <c r="C8" s="7"/>
      <c r="D8" s="7"/>
      <c r="E8" s="7"/>
      <c r="F8" s="7"/>
      <c r="G8" s="7"/>
      <c r="H8" s="7"/>
      <c r="I8" s="7"/>
      <c r="J8" s="7"/>
      <c r="K8" s="7">
        <f>SUM(B8:J8)</f>
        <v>0</v>
      </c>
      <c r="N8">
        <v>7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N9">
        <v>8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2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>
        <f>IF(K3&gt;0,K4/K3,0)</f>
        <v>0</v>
      </c>
      <c r="N10">
        <v>9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x14ac:dyDescent="0.25">
      <c r="A11" s="2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>
        <f>IF(K4&gt;0,K5/K4,0)</f>
        <v>0</v>
      </c>
      <c r="N11">
        <v>10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x14ac:dyDescent="0.25">
      <c r="A12" s="2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>
        <f>IF(K5&gt;0,K6/K5,0)</f>
        <v>0</v>
      </c>
      <c r="N12">
        <v>11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x14ac:dyDescent="0.25">
      <c r="A13" s="2" t="s">
        <v>18</v>
      </c>
      <c r="B13" s="8"/>
      <c r="C13" s="8"/>
      <c r="D13" s="8"/>
      <c r="E13" s="8"/>
      <c r="F13" s="8"/>
      <c r="G13" s="8"/>
      <c r="H13" s="8"/>
      <c r="I13" s="8"/>
      <c r="J13" s="8"/>
      <c r="K13" s="8">
        <f>IF(K3&gt;0,K$8/K3,0)</f>
        <v>0</v>
      </c>
      <c r="N13">
        <v>12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2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>
        <f>IF(K4&gt;0,K$8/K4,0)</f>
        <v>0</v>
      </c>
      <c r="N14">
        <v>13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2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>
        <f>IF(K5&gt;0,K$8/K5,0)</f>
        <v>0</v>
      </c>
      <c r="N15">
        <v>14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x14ac:dyDescent="0.25">
      <c r="A16" s="2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>
        <f>IF(K6&gt;0,K7/K6,0)</f>
        <v>0</v>
      </c>
      <c r="N16">
        <v>15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11" x14ac:dyDescent="0.25">
      <c r="A17" s="2" t="s">
        <v>21</v>
      </c>
      <c r="B17" s="8"/>
      <c r="C17" s="8"/>
      <c r="D17" s="8"/>
      <c r="E17" s="8"/>
      <c r="F17" s="8"/>
      <c r="G17" s="8"/>
      <c r="H17" s="8"/>
      <c r="I17" s="8"/>
      <c r="J17" s="8"/>
      <c r="K17" s="8">
        <f>IF(K8&gt;0,(K7-K8)/K8,0)</f>
        <v>0</v>
      </c>
    </row>
    <row r="18" spans="1:11" x14ac:dyDescent="0.25">
      <c r="A18" s="2" t="s">
        <v>23</v>
      </c>
      <c r="B18" s="8"/>
      <c r="C18" s="8"/>
      <c r="D18" s="8"/>
      <c r="E18" s="8"/>
      <c r="F18" s="8"/>
      <c r="G18" s="8"/>
      <c r="H18" s="8"/>
      <c r="I18" s="8"/>
      <c r="J18" s="8"/>
      <c r="K18" s="8">
        <f>K7-K8</f>
        <v>0</v>
      </c>
    </row>
    <row r="19" spans="1:11" x14ac:dyDescent="0.25">
      <c r="A19" s="9" t="str">
        <f>VLOOKUP(INT((ROW()-1)/17)+1,Справочник!A:D,3,0)</f>
        <v>Январь неделя 2 (11-17 янв.)</v>
      </c>
      <c r="B19" s="9">
        <f>B$2</f>
        <v>0</v>
      </c>
      <c r="C19" s="9">
        <f t="shared" ref="C19:J19" si="1">C$2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  <c r="J19" s="9">
        <f t="shared" si="1"/>
        <v>0</v>
      </c>
      <c r="K19" s="9">
        <f>'Учет данных'!K21</f>
        <v>0</v>
      </c>
    </row>
    <row r="20" spans="1:11" x14ac:dyDescent="0.25">
      <c r="A20" s="1" t="s">
        <v>0</v>
      </c>
      <c r="B20" s="99"/>
      <c r="C20" s="99"/>
      <c r="D20" s="100"/>
      <c r="E20" s="101"/>
      <c r="F20" s="7"/>
      <c r="G20" s="7"/>
      <c r="H20" s="7"/>
      <c r="I20" s="7"/>
      <c r="J20" s="7"/>
      <c r="K20" s="7">
        <f t="shared" ref="K20" si="2">SUM(B20:J20)</f>
        <v>0</v>
      </c>
    </row>
    <row r="21" spans="1:11" x14ac:dyDescent="0.25">
      <c r="A21" s="1" t="s">
        <v>1</v>
      </c>
      <c r="B21" s="100"/>
      <c r="C21" s="100"/>
      <c r="D21" s="100"/>
      <c r="E21" s="101"/>
      <c r="F21" s="7"/>
      <c r="G21" s="7"/>
      <c r="H21" s="7"/>
      <c r="I21" s="7"/>
      <c r="J21" s="7"/>
      <c r="K21" s="7">
        <f t="shared" ref="K21:K75" si="3">SUM(B21:J21)</f>
        <v>0</v>
      </c>
    </row>
    <row r="22" spans="1:11" x14ac:dyDescent="0.25">
      <c r="A22" s="1" t="s">
        <v>2</v>
      </c>
      <c r="F22" s="7"/>
      <c r="G22" s="7"/>
      <c r="H22" s="7"/>
      <c r="I22" s="7"/>
      <c r="J22" s="7"/>
      <c r="K22" s="7">
        <f t="shared" si="3"/>
        <v>0</v>
      </c>
    </row>
    <row r="23" spans="1:11" x14ac:dyDescent="0.25">
      <c r="A23" s="1" t="s">
        <v>3</v>
      </c>
      <c r="B23" s="100"/>
      <c r="C23" s="100"/>
      <c r="D23" s="100"/>
      <c r="E23" s="101"/>
      <c r="F23" s="7"/>
      <c r="G23" s="7"/>
      <c r="H23" s="7"/>
      <c r="I23" s="7"/>
      <c r="J23" s="7"/>
      <c r="K23" s="7">
        <f t="shared" si="3"/>
        <v>0</v>
      </c>
    </row>
    <row r="24" spans="1:11" x14ac:dyDescent="0.25">
      <c r="A24" s="1" t="s">
        <v>4</v>
      </c>
      <c r="B24" s="102"/>
      <c r="C24" s="102"/>
      <c r="D24" s="103"/>
      <c r="E24" s="104"/>
      <c r="F24" s="7"/>
      <c r="G24" s="7"/>
      <c r="H24" s="7"/>
      <c r="I24" s="7"/>
      <c r="J24" s="7"/>
      <c r="K24" s="7">
        <f t="shared" si="3"/>
        <v>0</v>
      </c>
    </row>
    <row r="25" spans="1:11" ht="15.75" thickBot="1" x14ac:dyDescent="0.3">
      <c r="A25" s="1" t="s">
        <v>5</v>
      </c>
      <c r="B25" s="105"/>
      <c r="C25" s="105"/>
      <c r="D25" s="105"/>
      <c r="E25" s="106"/>
      <c r="F25" s="7"/>
      <c r="G25" s="7"/>
      <c r="H25" s="7"/>
      <c r="I25" s="7"/>
      <c r="J25" s="7"/>
      <c r="K25" s="7">
        <f t="shared" si="3"/>
        <v>0</v>
      </c>
    </row>
    <row r="27" spans="1:11" x14ac:dyDescent="0.25">
      <c r="A27" s="2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>
        <f t="shared" ref="K27:K29" si="4">IF(K20&gt;0,K21/K20,0)</f>
        <v>0</v>
      </c>
    </row>
    <row r="28" spans="1:11" x14ac:dyDescent="0.25">
      <c r="A28" s="2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>
        <f t="shared" si="4"/>
        <v>0</v>
      </c>
    </row>
    <row r="29" spans="1:11" x14ac:dyDescent="0.25">
      <c r="A29" s="2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>
        <f t="shared" si="4"/>
        <v>0</v>
      </c>
    </row>
    <row r="30" spans="1:11" x14ac:dyDescent="0.25">
      <c r="A30" s="2" t="s">
        <v>18</v>
      </c>
      <c r="B30" s="8"/>
      <c r="C30" s="8"/>
      <c r="D30" s="8"/>
      <c r="E30" s="8"/>
      <c r="F30" s="8"/>
      <c r="G30" s="8"/>
      <c r="H30" s="8"/>
      <c r="I30" s="8"/>
      <c r="J30" s="8"/>
      <c r="K30" s="8">
        <f t="shared" ref="K30:K32" si="5">IF(K20&gt;0,K$8/K20,0)</f>
        <v>0</v>
      </c>
    </row>
    <row r="31" spans="1:11" x14ac:dyDescent="0.25">
      <c r="A31" s="2" t="s">
        <v>19</v>
      </c>
      <c r="B31" s="8"/>
      <c r="C31" s="8"/>
      <c r="D31" s="8"/>
      <c r="E31" s="8"/>
      <c r="F31" s="8"/>
      <c r="G31" s="8"/>
      <c r="H31" s="8"/>
      <c r="I31" s="8"/>
      <c r="J31" s="8"/>
      <c r="K31" s="8">
        <f t="shared" si="5"/>
        <v>0</v>
      </c>
    </row>
    <row r="32" spans="1:11" x14ac:dyDescent="0.25">
      <c r="A32" s="2" t="s">
        <v>20</v>
      </c>
      <c r="B32" s="8"/>
      <c r="C32" s="8"/>
      <c r="D32" s="8"/>
      <c r="E32" s="8"/>
      <c r="F32" s="8"/>
      <c r="G32" s="8"/>
      <c r="H32" s="8"/>
      <c r="I32" s="8"/>
      <c r="J32" s="8"/>
      <c r="K32" s="8">
        <f t="shared" si="5"/>
        <v>0</v>
      </c>
    </row>
    <row r="33" spans="1:11" x14ac:dyDescent="0.25">
      <c r="A33" s="2" t="s">
        <v>22</v>
      </c>
      <c r="B33" s="8"/>
      <c r="C33" s="8"/>
      <c r="D33" s="8"/>
      <c r="E33" s="8"/>
      <c r="F33" s="8"/>
      <c r="G33" s="8"/>
      <c r="H33" s="8"/>
      <c r="I33" s="8"/>
      <c r="J33" s="8"/>
      <c r="K33" s="8">
        <f t="shared" ref="K33" si="6">IF(K23&gt;0,K24/K23,0)</f>
        <v>0</v>
      </c>
    </row>
    <row r="34" spans="1:11" x14ac:dyDescent="0.25">
      <c r="A34" s="2" t="s">
        <v>21</v>
      </c>
      <c r="B34" s="8"/>
      <c r="C34" s="8"/>
      <c r="D34" s="8"/>
      <c r="E34" s="8"/>
      <c r="F34" s="8"/>
      <c r="G34" s="8"/>
      <c r="H34" s="8"/>
      <c r="I34" s="8"/>
      <c r="J34" s="8"/>
      <c r="K34" s="8">
        <f t="shared" ref="K34" si="7">IF(K25&gt;0,(K24-K25)/K25,0)</f>
        <v>0</v>
      </c>
    </row>
    <row r="35" spans="1:11" x14ac:dyDescent="0.25">
      <c r="A35" s="2" t="s">
        <v>23</v>
      </c>
      <c r="B35" s="8"/>
      <c r="C35" s="8"/>
      <c r="D35" s="8"/>
      <c r="E35" s="8"/>
      <c r="F35" s="8"/>
      <c r="G35" s="8"/>
      <c r="H35" s="8"/>
      <c r="I35" s="8"/>
      <c r="J35" s="8"/>
      <c r="K35" s="8">
        <f t="shared" ref="K35" si="8">K24-K25</f>
        <v>0</v>
      </c>
    </row>
    <row r="36" spans="1:11" x14ac:dyDescent="0.25">
      <c r="A36" s="9" t="str">
        <f>VLOOKUP(INT((ROW()-1)/17)+1,Справочник!A:D,3,0)</f>
        <v>Январь неделя 3 (18-24 янв.)</v>
      </c>
      <c r="B36" s="9">
        <f t="shared" ref="B36:J87" si="9">B$2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  <c r="H36" s="9">
        <f t="shared" si="9"/>
        <v>0</v>
      </c>
      <c r="I36" s="9">
        <f t="shared" si="9"/>
        <v>0</v>
      </c>
      <c r="J36" s="9">
        <f t="shared" si="9"/>
        <v>0</v>
      </c>
      <c r="K36" s="116">
        <f ca="1">'Учет данных'!K38</f>
        <v>0</v>
      </c>
    </row>
    <row r="37" spans="1:11" x14ac:dyDescent="0.25">
      <c r="A37" s="1" t="s">
        <v>0</v>
      </c>
      <c r="B37" s="99"/>
      <c r="C37" s="99"/>
      <c r="D37" s="100"/>
      <c r="E37" s="101"/>
      <c r="F37" s="7"/>
      <c r="G37" s="7"/>
      <c r="H37" s="7"/>
      <c r="I37" s="7"/>
      <c r="J37" s="7"/>
      <c r="K37" s="7">
        <f t="shared" ref="K37" si="10">SUM(B37:J37)</f>
        <v>0</v>
      </c>
    </row>
    <row r="38" spans="1:11" x14ac:dyDescent="0.25">
      <c r="A38" s="1" t="s">
        <v>1</v>
      </c>
      <c r="B38" s="100"/>
      <c r="C38" s="100"/>
      <c r="D38" s="100"/>
      <c r="E38" s="101"/>
      <c r="F38" s="7"/>
      <c r="G38" s="7"/>
      <c r="H38" s="7"/>
      <c r="I38" s="7"/>
      <c r="J38" s="7"/>
      <c r="K38" s="7">
        <f t="shared" si="3"/>
        <v>0</v>
      </c>
    </row>
    <row r="39" spans="1:11" x14ac:dyDescent="0.25">
      <c r="A39" s="1" t="s">
        <v>2</v>
      </c>
      <c r="F39" s="7"/>
      <c r="G39" s="7"/>
      <c r="H39" s="7"/>
      <c r="I39" s="7"/>
      <c r="J39" s="7"/>
      <c r="K39" s="7">
        <f t="shared" si="3"/>
        <v>0</v>
      </c>
    </row>
    <row r="40" spans="1:11" x14ac:dyDescent="0.25">
      <c r="A40" s="1" t="s">
        <v>3</v>
      </c>
      <c r="B40" s="100"/>
      <c r="C40" s="100"/>
      <c r="D40" s="100"/>
      <c r="E40" s="101"/>
      <c r="F40" s="7"/>
      <c r="G40" s="7"/>
      <c r="H40" s="7"/>
      <c r="I40" s="7"/>
      <c r="J40" s="7"/>
      <c r="K40" s="7">
        <f t="shared" si="3"/>
        <v>0</v>
      </c>
    </row>
    <row r="41" spans="1:11" x14ac:dyDescent="0.25">
      <c r="A41" s="1" t="s">
        <v>4</v>
      </c>
      <c r="B41" s="102"/>
      <c r="C41" s="102"/>
      <c r="D41" s="103"/>
      <c r="E41" s="104"/>
      <c r="F41" s="7"/>
      <c r="G41" s="7"/>
      <c r="H41" s="7"/>
      <c r="I41" s="7"/>
      <c r="J41" s="7"/>
      <c r="K41" s="7">
        <f t="shared" si="3"/>
        <v>0</v>
      </c>
    </row>
    <row r="42" spans="1:11" ht="15.75" thickBot="1" x14ac:dyDescent="0.3">
      <c r="A42" s="1" t="s">
        <v>5</v>
      </c>
      <c r="B42" s="105"/>
      <c r="C42" s="105"/>
      <c r="D42" s="105"/>
      <c r="E42" s="106"/>
      <c r="F42" s="7"/>
      <c r="G42" s="7"/>
      <c r="H42" s="7"/>
      <c r="I42" s="7"/>
      <c r="J42" s="7"/>
      <c r="K42" s="7">
        <f t="shared" si="3"/>
        <v>0</v>
      </c>
    </row>
    <row r="44" spans="1:11" x14ac:dyDescent="0.25">
      <c r="A44" s="2" t="s">
        <v>15</v>
      </c>
      <c r="B44" s="6"/>
      <c r="C44" s="6"/>
      <c r="D44" s="6"/>
      <c r="E44" s="6"/>
      <c r="F44" s="6"/>
      <c r="G44" s="6"/>
      <c r="H44" s="6"/>
      <c r="I44" s="6"/>
      <c r="J44" s="6"/>
      <c r="K44" s="6">
        <f t="shared" ref="K44:K46" si="11">IF(K37&gt;0,K38/K37,0)</f>
        <v>0</v>
      </c>
    </row>
    <row r="45" spans="1:11" x14ac:dyDescent="0.25">
      <c r="A45" s="2" t="s">
        <v>16</v>
      </c>
      <c r="B45" s="6"/>
      <c r="C45" s="6"/>
      <c r="D45" s="6"/>
      <c r="E45" s="6"/>
      <c r="F45" s="6"/>
      <c r="G45" s="6"/>
      <c r="H45" s="6"/>
      <c r="I45" s="6"/>
      <c r="J45" s="6"/>
      <c r="K45" s="6">
        <f t="shared" si="11"/>
        <v>0</v>
      </c>
    </row>
    <row r="46" spans="1:11" x14ac:dyDescent="0.25">
      <c r="A46" s="2" t="s">
        <v>17</v>
      </c>
      <c r="B46" s="6"/>
      <c r="C46" s="6"/>
      <c r="D46" s="6"/>
      <c r="E46" s="6"/>
      <c r="F46" s="6"/>
      <c r="G46" s="6"/>
      <c r="H46" s="6"/>
      <c r="I46" s="6"/>
      <c r="J46" s="6"/>
      <c r="K46" s="6">
        <f t="shared" si="11"/>
        <v>0</v>
      </c>
    </row>
    <row r="47" spans="1:11" x14ac:dyDescent="0.25">
      <c r="A47" s="2" t="s">
        <v>18</v>
      </c>
      <c r="B47" s="8"/>
      <c r="C47" s="8"/>
      <c r="D47" s="8"/>
      <c r="E47" s="8"/>
      <c r="F47" s="8"/>
      <c r="G47" s="8"/>
      <c r="H47" s="8"/>
      <c r="I47" s="8"/>
      <c r="J47" s="8"/>
      <c r="K47" s="8">
        <f t="shared" ref="K47:K49" si="12">IF(K37&gt;0,K$8/K37,0)</f>
        <v>0</v>
      </c>
    </row>
    <row r="48" spans="1:11" x14ac:dyDescent="0.25">
      <c r="A48" s="2" t="s">
        <v>19</v>
      </c>
      <c r="B48" s="8"/>
      <c r="C48" s="8"/>
      <c r="D48" s="8"/>
      <c r="E48" s="8"/>
      <c r="F48" s="8"/>
      <c r="G48" s="8"/>
      <c r="H48" s="8"/>
      <c r="I48" s="8"/>
      <c r="J48" s="8"/>
      <c r="K48" s="8">
        <f t="shared" si="12"/>
        <v>0</v>
      </c>
    </row>
    <row r="49" spans="1:11" x14ac:dyDescent="0.25">
      <c r="A49" s="2" t="s">
        <v>20</v>
      </c>
      <c r="B49" s="8"/>
      <c r="C49" s="8"/>
      <c r="D49" s="8"/>
      <c r="E49" s="8"/>
      <c r="F49" s="8"/>
      <c r="G49" s="8"/>
      <c r="H49" s="8"/>
      <c r="I49" s="8"/>
      <c r="J49" s="8"/>
      <c r="K49" s="8">
        <f t="shared" si="12"/>
        <v>0</v>
      </c>
    </row>
    <row r="50" spans="1:11" x14ac:dyDescent="0.25">
      <c r="A50" s="2" t="s">
        <v>22</v>
      </c>
      <c r="B50" s="8"/>
      <c r="C50" s="8"/>
      <c r="D50" s="8"/>
      <c r="E50" s="8"/>
      <c r="F50" s="8"/>
      <c r="G50" s="8"/>
      <c r="H50" s="8"/>
      <c r="I50" s="8"/>
      <c r="J50" s="8"/>
      <c r="K50" s="8">
        <f t="shared" ref="K50" si="13">IF(K40&gt;0,K41/K40,0)</f>
        <v>0</v>
      </c>
    </row>
    <row r="51" spans="1:11" x14ac:dyDescent="0.25">
      <c r="A51" s="2" t="s">
        <v>21</v>
      </c>
      <c r="B51" s="8"/>
      <c r="C51" s="8"/>
      <c r="D51" s="8"/>
      <c r="E51" s="8"/>
      <c r="F51" s="8"/>
      <c r="G51" s="8"/>
      <c r="H51" s="8"/>
      <c r="I51" s="8"/>
      <c r="J51" s="8"/>
      <c r="K51" s="8">
        <f t="shared" ref="K51" si="14">IF(K42&gt;0,(K41-K42)/K42,0)</f>
        <v>0</v>
      </c>
    </row>
    <row r="52" spans="1:11" x14ac:dyDescent="0.25">
      <c r="A52" s="2" t="s">
        <v>23</v>
      </c>
      <c r="B52" s="8"/>
      <c r="C52" s="8"/>
      <c r="D52" s="8"/>
      <c r="E52" s="8"/>
      <c r="F52" s="8"/>
      <c r="G52" s="8"/>
      <c r="H52" s="8"/>
      <c r="I52" s="8"/>
      <c r="J52" s="8"/>
      <c r="K52" s="8">
        <f t="shared" ref="K52" si="15">K41-K42</f>
        <v>0</v>
      </c>
    </row>
    <row r="53" spans="1:11" x14ac:dyDescent="0.25">
      <c r="A53" s="9" t="str">
        <f>VLOOKUP(INT((ROW()-1)/17)+1,Справочник!A:D,3,0)</f>
        <v>Январь неделя 4 (25-31 янв.)</v>
      </c>
      <c r="B53" s="9">
        <f t="shared" ref="B53" si="16">B$2</f>
        <v>0</v>
      </c>
      <c r="C53" s="9">
        <f t="shared" si="9"/>
        <v>0</v>
      </c>
      <c r="D53" s="9">
        <f t="shared" si="9"/>
        <v>0</v>
      </c>
      <c r="E53" s="9">
        <f t="shared" si="9"/>
        <v>0</v>
      </c>
      <c r="F53" s="9">
        <f t="shared" si="9"/>
        <v>0</v>
      </c>
      <c r="G53" s="9">
        <f t="shared" si="9"/>
        <v>0</v>
      </c>
      <c r="H53" s="9">
        <f t="shared" si="9"/>
        <v>0</v>
      </c>
      <c r="I53" s="9">
        <f t="shared" si="9"/>
        <v>0</v>
      </c>
      <c r="J53" s="9">
        <f t="shared" si="9"/>
        <v>0</v>
      </c>
      <c r="K53" s="9">
        <f>'Учет данных'!K55</f>
        <v>0</v>
      </c>
    </row>
    <row r="54" spans="1:11" x14ac:dyDescent="0.25">
      <c r="A54" s="1" t="s">
        <v>0</v>
      </c>
      <c r="B54" s="7"/>
      <c r="C54" s="7"/>
      <c r="D54" s="7"/>
      <c r="E54" s="7"/>
      <c r="F54" s="7"/>
      <c r="G54" s="7"/>
      <c r="H54" s="7"/>
      <c r="I54" s="7"/>
      <c r="J54" s="7"/>
      <c r="K54" s="7">
        <f t="shared" ref="K54:K59" si="17">SUM(B54:J54)</f>
        <v>0</v>
      </c>
    </row>
    <row r="55" spans="1:11" x14ac:dyDescent="0.25">
      <c r="A55" s="1" t="s">
        <v>1</v>
      </c>
      <c r="B55" s="7"/>
      <c r="C55" s="7"/>
      <c r="D55" s="7"/>
      <c r="E55" s="7"/>
      <c r="F55" s="7"/>
      <c r="G55" s="7"/>
      <c r="H55" s="7"/>
      <c r="I55" s="7"/>
      <c r="J55" s="7"/>
      <c r="K55" s="7">
        <f t="shared" si="17"/>
        <v>0</v>
      </c>
    </row>
    <row r="56" spans="1:11" x14ac:dyDescent="0.25">
      <c r="A56" s="1" t="s">
        <v>2</v>
      </c>
      <c r="C56" s="7"/>
      <c r="D56" s="7"/>
      <c r="E56" s="7"/>
      <c r="F56" s="7"/>
      <c r="G56" s="7"/>
      <c r="H56" s="7"/>
      <c r="I56" s="7"/>
      <c r="J56" s="7"/>
      <c r="K56" s="7">
        <f t="shared" si="17"/>
        <v>0</v>
      </c>
    </row>
    <row r="57" spans="1:11" x14ac:dyDescent="0.25">
      <c r="A57" s="1" t="s">
        <v>3</v>
      </c>
      <c r="B57" s="7"/>
      <c r="C57" s="7"/>
      <c r="D57" s="7"/>
      <c r="E57" s="7"/>
      <c r="F57" s="7"/>
      <c r="G57" s="7"/>
      <c r="H57" s="7"/>
      <c r="I57" s="7"/>
      <c r="J57" s="7"/>
      <c r="K57" s="7">
        <f t="shared" si="17"/>
        <v>0</v>
      </c>
    </row>
    <row r="58" spans="1:11" x14ac:dyDescent="0.25">
      <c r="A58" s="1" t="s">
        <v>4</v>
      </c>
      <c r="B58" s="7"/>
      <c r="C58" s="7"/>
      <c r="D58" s="7"/>
      <c r="E58" s="7"/>
      <c r="F58" s="7"/>
      <c r="G58" s="7"/>
      <c r="H58" s="7"/>
      <c r="I58" s="7"/>
      <c r="J58" s="7"/>
      <c r="K58" s="7">
        <f t="shared" si="17"/>
        <v>0</v>
      </c>
    </row>
    <row r="59" spans="1:11" x14ac:dyDescent="0.25">
      <c r="A59" s="1" t="s">
        <v>5</v>
      </c>
      <c r="B59" s="7"/>
      <c r="C59" s="7"/>
      <c r="D59" s="7"/>
      <c r="E59" s="7"/>
      <c r="F59" s="7"/>
      <c r="G59" s="7"/>
      <c r="H59" s="7"/>
      <c r="I59" s="7"/>
      <c r="J59" s="7"/>
      <c r="K59" s="7">
        <f t="shared" si="17"/>
        <v>0</v>
      </c>
    </row>
    <row r="61" spans="1:11" x14ac:dyDescent="0.25">
      <c r="A61" s="2" t="s">
        <v>15</v>
      </c>
      <c r="B61" s="6"/>
      <c r="C61" s="6"/>
      <c r="D61" s="6"/>
      <c r="E61" s="6"/>
      <c r="F61" s="6"/>
      <c r="G61" s="6"/>
      <c r="H61" s="6"/>
      <c r="I61" s="6"/>
      <c r="J61" s="6"/>
      <c r="K61" s="6">
        <f t="shared" ref="K61:K63" si="18">IF(K54&gt;0,K55/K54,0)</f>
        <v>0</v>
      </c>
    </row>
    <row r="62" spans="1:11" x14ac:dyDescent="0.25">
      <c r="A62" s="2" t="s">
        <v>16</v>
      </c>
      <c r="B62" s="6"/>
      <c r="C62" s="6"/>
      <c r="D62" s="6"/>
      <c r="E62" s="6"/>
      <c r="F62" s="6"/>
      <c r="G62" s="6"/>
      <c r="H62" s="6"/>
      <c r="I62" s="6"/>
      <c r="J62" s="6"/>
      <c r="K62" s="6">
        <f t="shared" si="18"/>
        <v>0</v>
      </c>
    </row>
    <row r="63" spans="1:11" x14ac:dyDescent="0.25">
      <c r="A63" s="2" t="s">
        <v>17</v>
      </c>
      <c r="B63" s="6"/>
      <c r="C63" s="6"/>
      <c r="D63" s="6"/>
      <c r="E63" s="6"/>
      <c r="F63" s="6"/>
      <c r="G63" s="6"/>
      <c r="H63" s="6"/>
      <c r="I63" s="6"/>
      <c r="J63" s="6"/>
      <c r="K63" s="6">
        <f t="shared" si="18"/>
        <v>0</v>
      </c>
    </row>
    <row r="64" spans="1:11" x14ac:dyDescent="0.25">
      <c r="A64" s="2" t="s">
        <v>18</v>
      </c>
      <c r="B64" s="8"/>
      <c r="C64" s="8"/>
      <c r="D64" s="8"/>
      <c r="E64" s="8"/>
      <c r="F64" s="8"/>
      <c r="G64" s="8"/>
      <c r="H64" s="8"/>
      <c r="I64" s="8"/>
      <c r="J64" s="8"/>
      <c r="K64" s="8">
        <f t="shared" ref="K64:K66" si="19">IF(K54&gt;0,K$8/K54,0)</f>
        <v>0</v>
      </c>
    </row>
    <row r="65" spans="1:11" x14ac:dyDescent="0.25">
      <c r="A65" s="2" t="s">
        <v>19</v>
      </c>
      <c r="B65" s="8"/>
      <c r="C65" s="8"/>
      <c r="D65" s="8"/>
      <c r="E65" s="8"/>
      <c r="F65" s="8"/>
      <c r="G65" s="8"/>
      <c r="H65" s="8"/>
      <c r="I65" s="8"/>
      <c r="J65" s="8"/>
      <c r="K65" s="8">
        <f t="shared" si="19"/>
        <v>0</v>
      </c>
    </row>
    <row r="66" spans="1:11" x14ac:dyDescent="0.25">
      <c r="A66" s="2" t="s">
        <v>20</v>
      </c>
      <c r="B66" s="8"/>
      <c r="C66" s="8"/>
      <c r="D66" s="8"/>
      <c r="E66" s="8"/>
      <c r="F66" s="8"/>
      <c r="G66" s="8"/>
      <c r="H66" s="8"/>
      <c r="I66" s="8"/>
      <c r="J66" s="8"/>
      <c r="K66" s="8">
        <f t="shared" si="19"/>
        <v>0</v>
      </c>
    </row>
    <row r="67" spans="1:11" x14ac:dyDescent="0.25">
      <c r="A67" s="2" t="s">
        <v>22</v>
      </c>
      <c r="B67" s="8"/>
      <c r="C67" s="8"/>
      <c r="D67" s="8"/>
      <c r="E67" s="8"/>
      <c r="F67" s="8"/>
      <c r="G67" s="8"/>
      <c r="H67" s="8"/>
      <c r="I67" s="8"/>
      <c r="J67" s="8"/>
      <c r="K67" s="8">
        <f t="shared" ref="K67" si="20">IF(K57&gt;0,K58/K57,0)</f>
        <v>0</v>
      </c>
    </row>
    <row r="68" spans="1:11" x14ac:dyDescent="0.25">
      <c r="A68" s="2" t="s">
        <v>21</v>
      </c>
      <c r="B68" s="8"/>
      <c r="C68" s="8"/>
      <c r="D68" s="8"/>
      <c r="E68" s="8"/>
      <c r="F68" s="8"/>
      <c r="G68" s="8"/>
      <c r="H68" s="8"/>
      <c r="I68" s="8"/>
      <c r="J68" s="8"/>
      <c r="K68" s="8">
        <f t="shared" ref="K68" si="21">IF(K59&gt;0,(K58-K59)/K59,0)</f>
        <v>0</v>
      </c>
    </row>
    <row r="69" spans="1:11" x14ac:dyDescent="0.25">
      <c r="A69" s="2" t="s">
        <v>23</v>
      </c>
      <c r="B69" s="8"/>
      <c r="C69" s="8"/>
      <c r="D69" s="8"/>
      <c r="E69" s="8"/>
      <c r="F69" s="8"/>
      <c r="G69" s="8"/>
      <c r="H69" s="8"/>
      <c r="I69" s="8"/>
      <c r="J69" s="8"/>
      <c r="K69" s="8">
        <f t="shared" ref="K69" si="22">K58-K59</f>
        <v>0</v>
      </c>
    </row>
    <row r="70" spans="1:11" x14ac:dyDescent="0.25">
      <c r="A70" s="9" t="str">
        <f>VLOOKUP(INT((ROW()-1)/17)+1,Справочник!A:D,3,0)</f>
        <v>Февраль неделя 1 (01-07 фев.)</v>
      </c>
      <c r="B70" s="9">
        <f t="shared" ref="B70" si="23">B$2</f>
        <v>0</v>
      </c>
      <c r="C70" s="9">
        <f t="shared" si="9"/>
        <v>0</v>
      </c>
      <c r="D70" s="9">
        <f t="shared" si="9"/>
        <v>0</v>
      </c>
      <c r="E70" s="9">
        <f t="shared" si="9"/>
        <v>0</v>
      </c>
      <c r="F70" s="9">
        <f t="shared" si="9"/>
        <v>0</v>
      </c>
      <c r="G70" s="9">
        <f t="shared" si="9"/>
        <v>0</v>
      </c>
      <c r="H70" s="9">
        <f t="shared" si="9"/>
        <v>0</v>
      </c>
      <c r="I70" s="9">
        <f t="shared" si="9"/>
        <v>0</v>
      </c>
      <c r="J70" s="9">
        <f t="shared" si="9"/>
        <v>0</v>
      </c>
      <c r="K70" s="9">
        <f>'Учет данных'!K72</f>
        <v>0</v>
      </c>
    </row>
    <row r="71" spans="1:11" x14ac:dyDescent="0.25">
      <c r="A71" s="1" t="s">
        <v>0</v>
      </c>
      <c r="B71" s="99"/>
      <c r="C71" s="99"/>
      <c r="D71" s="100"/>
      <c r="E71" s="101"/>
      <c r="F71" s="7"/>
      <c r="G71" s="7"/>
      <c r="H71" s="7"/>
      <c r="I71" s="7"/>
      <c r="J71" s="7"/>
      <c r="K71" s="7">
        <f t="shared" ref="K71" si="24">SUM(B71:J71)</f>
        <v>0</v>
      </c>
    </row>
    <row r="72" spans="1:11" x14ac:dyDescent="0.25">
      <c r="A72" s="1" t="s">
        <v>1</v>
      </c>
      <c r="B72" s="100"/>
      <c r="C72" s="100"/>
      <c r="D72" s="100"/>
      <c r="E72" s="101"/>
      <c r="F72" s="7"/>
      <c r="G72" s="7"/>
      <c r="H72" s="7"/>
      <c r="I72" s="7"/>
      <c r="J72" s="7"/>
      <c r="K72" s="7">
        <f t="shared" si="3"/>
        <v>0</v>
      </c>
    </row>
    <row r="73" spans="1:11" x14ac:dyDescent="0.25">
      <c r="A73" s="1" t="s">
        <v>2</v>
      </c>
      <c r="F73" s="7"/>
      <c r="G73" s="7"/>
      <c r="H73" s="7"/>
      <c r="I73" s="7"/>
      <c r="J73" s="7"/>
      <c r="K73" s="7">
        <f t="shared" si="3"/>
        <v>0</v>
      </c>
    </row>
    <row r="74" spans="1:11" x14ac:dyDescent="0.25">
      <c r="A74" s="1" t="s">
        <v>3</v>
      </c>
      <c r="B74" s="100"/>
      <c r="C74" s="100"/>
      <c r="D74" s="100"/>
      <c r="E74" s="101"/>
      <c r="F74" s="7"/>
      <c r="G74" s="7"/>
      <c r="H74" s="7"/>
      <c r="I74" s="7"/>
      <c r="J74" s="7"/>
      <c r="K74" s="7">
        <f t="shared" si="3"/>
        <v>0</v>
      </c>
    </row>
    <row r="75" spans="1:11" x14ac:dyDescent="0.25">
      <c r="A75" s="1" t="s">
        <v>4</v>
      </c>
      <c r="B75" s="102"/>
      <c r="C75" s="102"/>
      <c r="D75" s="103"/>
      <c r="E75" s="104"/>
      <c r="F75" s="7"/>
      <c r="G75" s="7"/>
      <c r="H75" s="7"/>
      <c r="I75" s="7"/>
      <c r="J75" s="7"/>
      <c r="K75" s="7">
        <f t="shared" si="3"/>
        <v>0</v>
      </c>
    </row>
    <row r="76" spans="1:11" ht="15.75" thickBot="1" x14ac:dyDescent="0.3">
      <c r="A76" s="1" t="s">
        <v>5</v>
      </c>
      <c r="B76" s="105"/>
      <c r="C76" s="105"/>
      <c r="D76" s="105"/>
      <c r="E76" s="106"/>
      <c r="F76" s="7"/>
      <c r="G76" s="7"/>
      <c r="H76" s="7"/>
      <c r="I76" s="7"/>
      <c r="J76" s="7"/>
      <c r="K76" s="7">
        <f>SUM(B76:J76)</f>
        <v>0</v>
      </c>
    </row>
    <row r="78" spans="1:11" x14ac:dyDescent="0.25">
      <c r="A78" s="2" t="s">
        <v>15</v>
      </c>
      <c r="B78" s="6"/>
      <c r="C78" s="6"/>
      <c r="D78" s="6"/>
      <c r="E78" s="6"/>
      <c r="F78" s="6"/>
      <c r="G78" s="6"/>
      <c r="H78" s="6"/>
      <c r="I78" s="6"/>
      <c r="J78" s="6"/>
      <c r="K78" s="6">
        <f t="shared" ref="K78:K80" si="25">IF(K71&gt;0,K72/K71,0)</f>
        <v>0</v>
      </c>
    </row>
    <row r="79" spans="1:11" x14ac:dyDescent="0.25">
      <c r="A79" s="2" t="s">
        <v>16</v>
      </c>
      <c r="B79" s="6"/>
      <c r="C79" s="6"/>
      <c r="D79" s="6"/>
      <c r="E79" s="6"/>
      <c r="F79" s="6"/>
      <c r="G79" s="6"/>
      <c r="H79" s="6"/>
      <c r="I79" s="6"/>
      <c r="J79" s="6"/>
      <c r="K79" s="6">
        <f t="shared" si="25"/>
        <v>0</v>
      </c>
    </row>
    <row r="80" spans="1:11" x14ac:dyDescent="0.25">
      <c r="A80" s="2" t="s">
        <v>17</v>
      </c>
      <c r="B80" s="6"/>
      <c r="C80" s="6"/>
      <c r="D80" s="6"/>
      <c r="E80" s="6"/>
      <c r="F80" s="6"/>
      <c r="G80" s="6"/>
      <c r="H80" s="6"/>
      <c r="I80" s="6"/>
      <c r="J80" s="6"/>
      <c r="K80" s="6">
        <f t="shared" si="25"/>
        <v>0</v>
      </c>
    </row>
    <row r="81" spans="1:11" x14ac:dyDescent="0.25">
      <c r="A81" s="2" t="s">
        <v>18</v>
      </c>
      <c r="B81" s="8"/>
      <c r="C81" s="8"/>
      <c r="D81" s="8"/>
      <c r="E81" s="8"/>
      <c r="F81" s="8"/>
      <c r="G81" s="8"/>
      <c r="H81" s="8"/>
      <c r="I81" s="8"/>
      <c r="J81" s="8"/>
      <c r="K81" s="8">
        <f t="shared" ref="K81:K83" si="26">IF(K71&gt;0,K$8/K71,0)</f>
        <v>0</v>
      </c>
    </row>
    <row r="82" spans="1:11" x14ac:dyDescent="0.25">
      <c r="A82" s="2" t="s">
        <v>19</v>
      </c>
      <c r="B82" s="8"/>
      <c r="C82" s="8"/>
      <c r="D82" s="8"/>
      <c r="E82" s="8"/>
      <c r="F82" s="8"/>
      <c r="G82" s="8"/>
      <c r="H82" s="8"/>
      <c r="I82" s="8"/>
      <c r="J82" s="8"/>
      <c r="K82" s="8">
        <f t="shared" si="26"/>
        <v>0</v>
      </c>
    </row>
    <row r="83" spans="1:11" x14ac:dyDescent="0.25">
      <c r="A83" s="2" t="s">
        <v>20</v>
      </c>
      <c r="B83" s="8"/>
      <c r="C83" s="8"/>
      <c r="D83" s="8"/>
      <c r="E83" s="8"/>
      <c r="F83" s="8"/>
      <c r="G83" s="8"/>
      <c r="H83" s="8"/>
      <c r="I83" s="8"/>
      <c r="J83" s="8"/>
      <c r="K83" s="8">
        <f t="shared" si="26"/>
        <v>0</v>
      </c>
    </row>
    <row r="84" spans="1:11" x14ac:dyDescent="0.25">
      <c r="A84" s="2" t="s">
        <v>22</v>
      </c>
      <c r="B84" s="8"/>
      <c r="C84" s="8"/>
      <c r="D84" s="8"/>
      <c r="E84" s="8"/>
      <c r="F84" s="8"/>
      <c r="G84" s="8"/>
      <c r="H84" s="8"/>
      <c r="I84" s="8"/>
      <c r="J84" s="8"/>
      <c r="K84" s="8">
        <f t="shared" ref="K84" si="27">IF(K74&gt;0,K75/K74,0)</f>
        <v>0</v>
      </c>
    </row>
    <row r="85" spans="1:11" x14ac:dyDescent="0.25">
      <c r="A85" s="2" t="s">
        <v>21</v>
      </c>
      <c r="B85" s="8"/>
      <c r="C85" s="8"/>
      <c r="D85" s="8"/>
      <c r="E85" s="8"/>
      <c r="F85" s="8"/>
      <c r="G85" s="8"/>
      <c r="H85" s="8"/>
      <c r="I85" s="8"/>
      <c r="J85" s="8"/>
      <c r="K85" s="8">
        <f t="shared" ref="K85" si="28">IF(K76&gt;0,(K75-K76)/K76,0)</f>
        <v>0</v>
      </c>
    </row>
    <row r="86" spans="1:11" x14ac:dyDescent="0.25">
      <c r="A86" s="2" t="s">
        <v>23</v>
      </c>
      <c r="B86" s="8"/>
      <c r="C86" s="8"/>
      <c r="D86" s="8"/>
      <c r="E86" s="8"/>
      <c r="F86" s="8"/>
      <c r="G86" s="8"/>
      <c r="H86" s="8"/>
      <c r="I86" s="8"/>
      <c r="J86" s="8"/>
      <c r="K86" s="8">
        <f t="shared" ref="K86" si="29">K75-K76</f>
        <v>0</v>
      </c>
    </row>
    <row r="87" spans="1:11" x14ac:dyDescent="0.25">
      <c r="A87" s="9" t="str">
        <f>VLOOKUP(INT((ROW()-1)/17)+1,Справочник!A:D,3,0)</f>
        <v>Февраль неделя 2 (08-14 фев.)</v>
      </c>
      <c r="B87" s="9">
        <f t="shared" ref="B87" si="30">B$2</f>
        <v>0</v>
      </c>
      <c r="C87" s="9">
        <f t="shared" si="9"/>
        <v>0</v>
      </c>
      <c r="D87" s="9">
        <f t="shared" si="9"/>
        <v>0</v>
      </c>
      <c r="E87" s="9">
        <f t="shared" si="9"/>
        <v>0</v>
      </c>
      <c r="F87" s="9">
        <f t="shared" si="9"/>
        <v>0</v>
      </c>
      <c r="G87" s="9">
        <f t="shared" si="9"/>
        <v>0</v>
      </c>
      <c r="H87" s="9">
        <f t="shared" si="9"/>
        <v>0</v>
      </c>
      <c r="I87" s="9">
        <f t="shared" si="9"/>
        <v>0</v>
      </c>
      <c r="J87" s="9">
        <f t="shared" si="9"/>
        <v>0</v>
      </c>
      <c r="K87" s="9">
        <f>'Учет данных'!K89</f>
        <v>0</v>
      </c>
    </row>
    <row r="88" spans="1:11" x14ac:dyDescent="0.25">
      <c r="A88" s="1" t="s">
        <v>0</v>
      </c>
      <c r="B88" s="7"/>
      <c r="C88" s="7"/>
      <c r="D88" s="7"/>
      <c r="E88" s="100"/>
      <c r="F88" s="7"/>
      <c r="G88" s="7"/>
      <c r="H88" s="7"/>
      <c r="I88" s="7"/>
      <c r="J88" s="7"/>
      <c r="K88" s="7">
        <f t="shared" ref="K88" si="31">SUM(B88:J88)</f>
        <v>0</v>
      </c>
    </row>
    <row r="89" spans="1:11" x14ac:dyDescent="0.25">
      <c r="A89" s="1" t="s">
        <v>1</v>
      </c>
      <c r="B89" s="7"/>
      <c r="C89" s="7"/>
      <c r="D89" s="7"/>
      <c r="E89" s="100"/>
      <c r="F89" s="7"/>
      <c r="G89" s="7"/>
      <c r="H89" s="7"/>
      <c r="I89" s="7"/>
      <c r="J89" s="7"/>
      <c r="K89" s="7">
        <f t="shared" ref="K89:K143" si="32">SUM(B89:J89)</f>
        <v>0</v>
      </c>
    </row>
    <row r="90" spans="1:11" x14ac:dyDescent="0.25">
      <c r="A90" s="1" t="s">
        <v>2</v>
      </c>
      <c r="B90" s="7"/>
      <c r="C90" s="7"/>
      <c r="D90" s="7"/>
      <c r="F90" s="7"/>
      <c r="G90" s="7"/>
      <c r="H90" s="7"/>
      <c r="I90" s="7"/>
      <c r="J90" s="7"/>
      <c r="K90" s="7">
        <f t="shared" si="32"/>
        <v>0</v>
      </c>
    </row>
    <row r="91" spans="1:11" x14ac:dyDescent="0.25">
      <c r="A91" s="1" t="s">
        <v>3</v>
      </c>
      <c r="B91" s="7"/>
      <c r="C91" s="7"/>
      <c r="D91" s="7"/>
      <c r="E91" s="100"/>
      <c r="F91" s="7"/>
      <c r="G91" s="7"/>
      <c r="H91" s="7"/>
      <c r="I91" s="7"/>
      <c r="J91" s="7"/>
      <c r="K91" s="7">
        <f t="shared" si="32"/>
        <v>0</v>
      </c>
    </row>
    <row r="92" spans="1:11" x14ac:dyDescent="0.25">
      <c r="A92" s="1" t="s">
        <v>4</v>
      </c>
      <c r="B92" s="7"/>
      <c r="C92" s="7"/>
      <c r="D92" s="7"/>
      <c r="E92" s="103"/>
      <c r="F92" s="7"/>
      <c r="G92" s="7"/>
      <c r="H92" s="7"/>
      <c r="I92" s="7"/>
      <c r="J92" s="7"/>
      <c r="K92" s="7">
        <f t="shared" si="32"/>
        <v>0</v>
      </c>
    </row>
    <row r="93" spans="1:11" ht="15.75" thickBot="1" x14ac:dyDescent="0.3">
      <c r="A93" s="1" t="s">
        <v>5</v>
      </c>
      <c r="B93" s="7"/>
      <c r="C93" s="7"/>
      <c r="D93" s="7"/>
      <c r="E93" s="105"/>
      <c r="F93" s="7"/>
      <c r="G93" s="7"/>
      <c r="H93" s="7"/>
      <c r="I93" s="7"/>
      <c r="J93" s="7"/>
      <c r="K93" s="7">
        <f t="shared" si="32"/>
        <v>0</v>
      </c>
    </row>
    <row r="95" spans="1:11" x14ac:dyDescent="0.25">
      <c r="A95" s="2" t="s">
        <v>15</v>
      </c>
      <c r="B95" s="6"/>
      <c r="C95" s="6"/>
      <c r="D95" s="6"/>
      <c r="E95" s="6"/>
      <c r="F95" s="6"/>
      <c r="G95" s="6"/>
      <c r="H95" s="6"/>
      <c r="I95" s="6"/>
      <c r="J95" s="6"/>
      <c r="K95" s="6">
        <f t="shared" ref="K95:K97" si="33">IF(K88&gt;0,K89/K88,0)</f>
        <v>0</v>
      </c>
    </row>
    <row r="96" spans="1:11" x14ac:dyDescent="0.25">
      <c r="A96" s="2" t="s">
        <v>16</v>
      </c>
      <c r="B96" s="6"/>
      <c r="C96" s="6"/>
      <c r="D96" s="6"/>
      <c r="E96" s="6"/>
      <c r="F96" s="6"/>
      <c r="G96" s="6"/>
      <c r="H96" s="6"/>
      <c r="I96" s="6"/>
      <c r="J96" s="6"/>
      <c r="K96" s="6">
        <f t="shared" si="33"/>
        <v>0</v>
      </c>
    </row>
    <row r="97" spans="1:11" x14ac:dyDescent="0.25">
      <c r="A97" s="2" t="s">
        <v>17</v>
      </c>
      <c r="B97" s="6"/>
      <c r="C97" s="6"/>
      <c r="D97" s="6"/>
      <c r="E97" s="6"/>
      <c r="F97" s="6"/>
      <c r="G97" s="6"/>
      <c r="H97" s="6"/>
      <c r="I97" s="6"/>
      <c r="J97" s="6"/>
      <c r="K97" s="6">
        <f t="shared" si="33"/>
        <v>0</v>
      </c>
    </row>
    <row r="98" spans="1:11" x14ac:dyDescent="0.25">
      <c r="A98" s="2" t="s">
        <v>18</v>
      </c>
      <c r="B98" s="8"/>
      <c r="C98" s="8"/>
      <c r="D98" s="8"/>
      <c r="E98" s="8"/>
      <c r="F98" s="8"/>
      <c r="G98" s="8"/>
      <c r="H98" s="8"/>
      <c r="I98" s="8"/>
      <c r="J98" s="8"/>
      <c r="K98" s="8">
        <f t="shared" ref="K98:K100" si="34">IF(K88&gt;0,K$8/K88,0)</f>
        <v>0</v>
      </c>
    </row>
    <row r="99" spans="1:11" x14ac:dyDescent="0.25">
      <c r="A99" s="2" t="s">
        <v>19</v>
      </c>
      <c r="B99" s="8"/>
      <c r="C99" s="8"/>
      <c r="D99" s="8"/>
      <c r="E99" s="8"/>
      <c r="F99" s="8"/>
      <c r="G99" s="8"/>
      <c r="H99" s="8"/>
      <c r="I99" s="8"/>
      <c r="J99" s="8"/>
      <c r="K99" s="8">
        <f t="shared" si="34"/>
        <v>0</v>
      </c>
    </row>
    <row r="100" spans="1:11" x14ac:dyDescent="0.25">
      <c r="A100" s="2" t="s">
        <v>20</v>
      </c>
      <c r="B100" s="8"/>
      <c r="C100" s="8"/>
      <c r="D100" s="8"/>
      <c r="E100" s="8"/>
      <c r="F100" s="8"/>
      <c r="G100" s="8"/>
      <c r="H100" s="8"/>
      <c r="I100" s="8"/>
      <c r="J100" s="8"/>
      <c r="K100" s="8">
        <f t="shared" si="34"/>
        <v>0</v>
      </c>
    </row>
    <row r="101" spans="1:11" x14ac:dyDescent="0.25">
      <c r="A101" s="2" t="s">
        <v>22</v>
      </c>
      <c r="B101" s="8"/>
      <c r="C101" s="8"/>
      <c r="D101" s="8"/>
      <c r="E101" s="8"/>
      <c r="F101" s="8"/>
      <c r="G101" s="8"/>
      <c r="H101" s="8"/>
      <c r="I101" s="8"/>
      <c r="J101" s="8"/>
      <c r="K101" s="8">
        <f t="shared" ref="K101" si="35">IF(K91&gt;0,K92/K91,0)</f>
        <v>0</v>
      </c>
    </row>
    <row r="102" spans="1:11" x14ac:dyDescent="0.25">
      <c r="A102" s="2" t="s">
        <v>21</v>
      </c>
      <c r="B102" s="8"/>
      <c r="C102" s="8"/>
      <c r="D102" s="8"/>
      <c r="E102" s="8"/>
      <c r="F102" s="8"/>
      <c r="G102" s="8"/>
      <c r="H102" s="8"/>
      <c r="I102" s="8"/>
      <c r="J102" s="8"/>
      <c r="K102" s="8">
        <f t="shared" ref="K102" si="36">IF(K93&gt;0,(K92-K93)/K93,0)</f>
        <v>0</v>
      </c>
    </row>
    <row r="103" spans="1:11" x14ac:dyDescent="0.25">
      <c r="A103" s="2" t="s">
        <v>23</v>
      </c>
      <c r="B103" s="8"/>
      <c r="C103" s="8"/>
      <c r="D103" s="8"/>
      <c r="E103" s="8"/>
      <c r="F103" s="8"/>
      <c r="G103" s="8"/>
      <c r="H103" s="8"/>
      <c r="I103" s="8"/>
      <c r="J103" s="8"/>
      <c r="K103" s="8">
        <f t="shared" ref="K103" si="37">K92-K93</f>
        <v>0</v>
      </c>
    </row>
    <row r="104" spans="1:11" x14ac:dyDescent="0.25">
      <c r="A104" s="9" t="str">
        <f>VLOOKUP(INT((ROW()-1)/17)+1,Справочник!A:D,3,0)</f>
        <v>Февраль неделя 3 (15-21 фев.)</v>
      </c>
      <c r="B104" s="9">
        <f t="shared" ref="B104:J155" si="38">B$2</f>
        <v>0</v>
      </c>
      <c r="C104" s="9">
        <f t="shared" si="38"/>
        <v>0</v>
      </c>
      <c r="D104" s="9">
        <f t="shared" si="38"/>
        <v>0</v>
      </c>
      <c r="E104" s="9">
        <f t="shared" si="38"/>
        <v>0</v>
      </c>
      <c r="F104" s="9">
        <f t="shared" si="38"/>
        <v>0</v>
      </c>
      <c r="G104" s="9">
        <f t="shared" si="38"/>
        <v>0</v>
      </c>
      <c r="H104" s="9">
        <f t="shared" si="38"/>
        <v>0</v>
      </c>
      <c r="I104" s="9">
        <f t="shared" si="38"/>
        <v>0</v>
      </c>
      <c r="J104" s="9">
        <f t="shared" si="38"/>
        <v>0</v>
      </c>
      <c r="K104" s="9">
        <f>'Учет данных'!K106</f>
        <v>0</v>
      </c>
    </row>
    <row r="105" spans="1:11" x14ac:dyDescent="0.25">
      <c r="A105" s="1" t="s">
        <v>0</v>
      </c>
      <c r="B105" s="7"/>
      <c r="C105" s="7"/>
      <c r="D105" s="7"/>
      <c r="E105" s="100"/>
      <c r="F105" s="7"/>
      <c r="G105" s="7"/>
      <c r="H105" s="7"/>
      <c r="I105" s="7"/>
      <c r="J105" s="7"/>
      <c r="K105" s="7">
        <f t="shared" ref="K105" si="39">SUM(B105:J105)</f>
        <v>0</v>
      </c>
    </row>
    <row r="106" spans="1:11" x14ac:dyDescent="0.25">
      <c r="A106" s="1" t="s">
        <v>1</v>
      </c>
      <c r="B106" s="7"/>
      <c r="C106" s="7"/>
      <c r="D106" s="7"/>
      <c r="E106" s="100"/>
      <c r="F106" s="7"/>
      <c r="G106" s="7"/>
      <c r="H106" s="7"/>
      <c r="I106" s="7"/>
      <c r="J106" s="7"/>
      <c r="K106" s="7">
        <f t="shared" si="32"/>
        <v>0</v>
      </c>
    </row>
    <row r="107" spans="1:11" x14ac:dyDescent="0.25">
      <c r="A107" s="1" t="s">
        <v>2</v>
      </c>
      <c r="B107" s="7"/>
      <c r="C107" s="7"/>
      <c r="D107" s="7"/>
      <c r="F107" s="7"/>
      <c r="G107" s="7"/>
      <c r="H107" s="7"/>
      <c r="I107" s="7"/>
      <c r="J107" s="7"/>
      <c r="K107" s="7">
        <f t="shared" si="32"/>
        <v>0</v>
      </c>
    </row>
    <row r="108" spans="1:11" x14ac:dyDescent="0.25">
      <c r="A108" s="1" t="s">
        <v>3</v>
      </c>
      <c r="B108" s="7"/>
      <c r="C108" s="7"/>
      <c r="D108" s="7"/>
      <c r="E108" s="100"/>
      <c r="F108" s="7"/>
      <c r="G108" s="7"/>
      <c r="H108" s="7"/>
      <c r="I108" s="7"/>
      <c r="J108" s="7"/>
      <c r="K108" s="7">
        <f t="shared" si="32"/>
        <v>0</v>
      </c>
    </row>
    <row r="109" spans="1:11" x14ac:dyDescent="0.25">
      <c r="A109" s="1" t="s">
        <v>4</v>
      </c>
      <c r="B109" s="7"/>
      <c r="C109" s="7"/>
      <c r="D109" s="7"/>
      <c r="E109" s="103"/>
      <c r="F109" s="7"/>
      <c r="G109" s="7"/>
      <c r="H109" s="7"/>
      <c r="I109" s="7"/>
      <c r="J109" s="7"/>
      <c r="K109" s="7">
        <f t="shared" si="32"/>
        <v>0</v>
      </c>
    </row>
    <row r="110" spans="1:11" ht="15.75" thickBot="1" x14ac:dyDescent="0.3">
      <c r="A110" s="1" t="s">
        <v>5</v>
      </c>
      <c r="B110" s="7"/>
      <c r="C110" s="7"/>
      <c r="D110" s="7"/>
      <c r="E110" s="105"/>
      <c r="F110" s="7"/>
      <c r="G110" s="7"/>
      <c r="H110" s="7"/>
      <c r="I110" s="7"/>
      <c r="J110" s="7"/>
      <c r="K110" s="7">
        <f t="shared" si="32"/>
        <v>0</v>
      </c>
    </row>
    <row r="112" spans="1:11" x14ac:dyDescent="0.25">
      <c r="A112" s="2" t="s">
        <v>15</v>
      </c>
      <c r="B112" s="6"/>
      <c r="C112" s="6"/>
      <c r="D112" s="6"/>
      <c r="E112" s="6"/>
      <c r="F112" s="6"/>
      <c r="G112" s="6"/>
      <c r="H112" s="6"/>
      <c r="I112" s="6"/>
      <c r="J112" s="6"/>
      <c r="K112" s="6">
        <f t="shared" ref="K112:K114" si="40">IF(K105&gt;0,K106/K105,0)</f>
        <v>0</v>
      </c>
    </row>
    <row r="113" spans="1:11" x14ac:dyDescent="0.25">
      <c r="A113" s="2" t="s">
        <v>16</v>
      </c>
      <c r="B113" s="6"/>
      <c r="C113" s="6"/>
      <c r="D113" s="6"/>
      <c r="E113" s="6"/>
      <c r="F113" s="6"/>
      <c r="G113" s="6"/>
      <c r="H113" s="6"/>
      <c r="I113" s="6"/>
      <c r="J113" s="6"/>
      <c r="K113" s="6">
        <f t="shared" si="40"/>
        <v>0</v>
      </c>
    </row>
    <row r="114" spans="1:11" x14ac:dyDescent="0.25">
      <c r="A114" s="2" t="s">
        <v>17</v>
      </c>
      <c r="B114" s="6"/>
      <c r="C114" s="6"/>
      <c r="D114" s="6"/>
      <c r="E114" s="6"/>
      <c r="F114" s="6"/>
      <c r="G114" s="6"/>
      <c r="H114" s="6"/>
      <c r="I114" s="6"/>
      <c r="J114" s="6"/>
      <c r="K114" s="6">
        <f t="shared" si="40"/>
        <v>0</v>
      </c>
    </row>
    <row r="115" spans="1:11" x14ac:dyDescent="0.25">
      <c r="A115" s="2" t="s">
        <v>18</v>
      </c>
      <c r="B115" s="8"/>
      <c r="C115" s="8"/>
      <c r="D115" s="8"/>
      <c r="E115" s="8"/>
      <c r="F115" s="8"/>
      <c r="G115" s="8"/>
      <c r="H115" s="8"/>
      <c r="I115" s="8"/>
      <c r="J115" s="8"/>
      <c r="K115" s="8">
        <f t="shared" ref="K115:K117" si="41">IF(K105&gt;0,K$8/K105,0)</f>
        <v>0</v>
      </c>
    </row>
    <row r="116" spans="1:11" x14ac:dyDescent="0.25">
      <c r="A116" s="2" t="s">
        <v>19</v>
      </c>
      <c r="B116" s="8"/>
      <c r="C116" s="8"/>
      <c r="D116" s="8"/>
      <c r="E116" s="8"/>
      <c r="F116" s="8"/>
      <c r="G116" s="8"/>
      <c r="H116" s="8"/>
      <c r="I116" s="8"/>
      <c r="J116" s="8"/>
      <c r="K116" s="8">
        <f t="shared" si="41"/>
        <v>0</v>
      </c>
    </row>
    <row r="117" spans="1:11" x14ac:dyDescent="0.25">
      <c r="A117" s="2" t="s">
        <v>20</v>
      </c>
      <c r="B117" s="8"/>
      <c r="C117" s="8"/>
      <c r="D117" s="8"/>
      <c r="E117" s="8"/>
      <c r="F117" s="8"/>
      <c r="G117" s="8"/>
      <c r="H117" s="8"/>
      <c r="I117" s="8"/>
      <c r="J117" s="8"/>
      <c r="K117" s="8">
        <f t="shared" si="41"/>
        <v>0</v>
      </c>
    </row>
    <row r="118" spans="1:11" x14ac:dyDescent="0.25">
      <c r="A118" s="2" t="s">
        <v>22</v>
      </c>
      <c r="B118" s="8"/>
      <c r="C118" s="8"/>
      <c r="D118" s="8"/>
      <c r="E118" s="8"/>
      <c r="F118" s="8"/>
      <c r="G118" s="8"/>
      <c r="H118" s="8"/>
      <c r="I118" s="8"/>
      <c r="J118" s="8"/>
      <c r="K118" s="8">
        <f t="shared" ref="K118" si="42">IF(K108&gt;0,K109/K108,0)</f>
        <v>0</v>
      </c>
    </row>
    <row r="119" spans="1:11" x14ac:dyDescent="0.25">
      <c r="A119" s="2" t="s">
        <v>21</v>
      </c>
      <c r="B119" s="8"/>
      <c r="C119" s="8"/>
      <c r="D119" s="8"/>
      <c r="E119" s="8"/>
      <c r="F119" s="8"/>
      <c r="G119" s="8"/>
      <c r="H119" s="8"/>
      <c r="I119" s="8"/>
      <c r="J119" s="8"/>
      <c r="K119" s="8">
        <f t="shared" ref="K119" si="43">IF(K110&gt;0,(K109-K110)/K110,0)</f>
        <v>0</v>
      </c>
    </row>
    <row r="120" spans="1:11" x14ac:dyDescent="0.25">
      <c r="A120" s="2" t="s">
        <v>23</v>
      </c>
      <c r="B120" s="8"/>
      <c r="C120" s="8"/>
      <c r="D120" s="8"/>
      <c r="E120" s="8"/>
      <c r="F120" s="8"/>
      <c r="G120" s="8"/>
      <c r="H120" s="8"/>
      <c r="I120" s="8"/>
      <c r="J120" s="8"/>
      <c r="K120" s="8">
        <f t="shared" ref="K120" si="44">K109-K110</f>
        <v>0</v>
      </c>
    </row>
    <row r="121" spans="1:11" x14ac:dyDescent="0.25">
      <c r="A121" s="9" t="str">
        <f>VLOOKUP(INT((ROW()-1)/17)+1,Справочник!A:D,3,0)</f>
        <v>Февраль неделя 4 (22-29 фев.)</v>
      </c>
      <c r="B121" s="9">
        <f t="shared" ref="B121" si="45">B$2</f>
        <v>0</v>
      </c>
      <c r="C121" s="9">
        <f t="shared" si="38"/>
        <v>0</v>
      </c>
      <c r="D121" s="9">
        <f t="shared" si="38"/>
        <v>0</v>
      </c>
      <c r="E121" s="9">
        <f t="shared" si="38"/>
        <v>0</v>
      </c>
      <c r="F121" s="9">
        <f t="shared" si="38"/>
        <v>0</v>
      </c>
      <c r="G121" s="9">
        <f t="shared" si="38"/>
        <v>0</v>
      </c>
      <c r="H121" s="9">
        <f t="shared" si="38"/>
        <v>0</v>
      </c>
      <c r="I121" s="9">
        <f t="shared" si="38"/>
        <v>0</v>
      </c>
      <c r="J121" s="9">
        <f t="shared" si="38"/>
        <v>0</v>
      </c>
      <c r="K121" s="9">
        <f>'Учет данных'!K123</f>
        <v>0</v>
      </c>
    </row>
    <row r="122" spans="1:11" x14ac:dyDescent="0.25">
      <c r="A122" s="1" t="s">
        <v>0</v>
      </c>
      <c r="B122" s="7"/>
      <c r="C122" s="7"/>
      <c r="D122" s="7"/>
      <c r="E122" s="101"/>
      <c r="F122" s="7"/>
      <c r="G122" s="7"/>
      <c r="H122" s="7"/>
      <c r="I122" s="7"/>
      <c r="J122" s="7"/>
      <c r="K122" s="7">
        <f t="shared" ref="K122" si="46">SUM(B122:J122)</f>
        <v>0</v>
      </c>
    </row>
    <row r="123" spans="1:11" x14ac:dyDescent="0.25">
      <c r="A123" s="1" t="s">
        <v>1</v>
      </c>
      <c r="B123" s="7"/>
      <c r="C123" s="7"/>
      <c r="D123" s="7"/>
      <c r="E123" s="101"/>
      <c r="F123" s="7"/>
      <c r="G123" s="7"/>
      <c r="H123" s="7"/>
      <c r="I123" s="7"/>
      <c r="J123" s="7"/>
      <c r="K123" s="7">
        <f t="shared" si="32"/>
        <v>0</v>
      </c>
    </row>
    <row r="124" spans="1:11" x14ac:dyDescent="0.25">
      <c r="A124" s="1" t="s">
        <v>2</v>
      </c>
      <c r="B124" s="7"/>
      <c r="C124" s="7"/>
      <c r="D124" s="7"/>
      <c r="F124" s="7"/>
      <c r="G124" s="7"/>
      <c r="H124" s="7"/>
      <c r="I124" s="7"/>
      <c r="J124" s="7"/>
      <c r="K124" s="7">
        <f t="shared" si="32"/>
        <v>0</v>
      </c>
    </row>
    <row r="125" spans="1:11" x14ac:dyDescent="0.25">
      <c r="A125" s="1" t="s">
        <v>3</v>
      </c>
      <c r="B125" s="7"/>
      <c r="C125" s="7"/>
      <c r="D125" s="7"/>
      <c r="E125" s="101"/>
      <c r="F125" s="7"/>
      <c r="G125" s="7"/>
      <c r="H125" s="7"/>
      <c r="I125" s="7"/>
      <c r="J125" s="7"/>
      <c r="K125" s="7">
        <f t="shared" si="32"/>
        <v>0</v>
      </c>
    </row>
    <row r="126" spans="1:11" x14ac:dyDescent="0.25">
      <c r="A126" s="1" t="s">
        <v>4</v>
      </c>
      <c r="B126" s="7"/>
      <c r="C126" s="7"/>
      <c r="D126" s="7"/>
      <c r="E126" s="104"/>
      <c r="F126" s="7"/>
      <c r="G126" s="7"/>
      <c r="H126" s="7"/>
      <c r="I126" s="7"/>
      <c r="J126" s="7"/>
      <c r="K126" s="7">
        <f t="shared" si="32"/>
        <v>0</v>
      </c>
    </row>
    <row r="127" spans="1:11" x14ac:dyDescent="0.25">
      <c r="A127" s="1" t="s">
        <v>5</v>
      </c>
      <c r="B127" s="7"/>
      <c r="C127" s="7"/>
      <c r="D127" s="7"/>
      <c r="E127" s="104"/>
      <c r="F127" s="7"/>
      <c r="G127" s="7"/>
      <c r="H127" s="7"/>
      <c r="I127" s="7"/>
      <c r="J127" s="7"/>
      <c r="K127" s="7">
        <f t="shared" si="32"/>
        <v>0</v>
      </c>
    </row>
    <row r="129" spans="1:11" x14ac:dyDescent="0.25">
      <c r="A129" s="2" t="s">
        <v>15</v>
      </c>
      <c r="B129" s="6"/>
      <c r="C129" s="6"/>
      <c r="D129" s="6"/>
      <c r="E129" s="6"/>
      <c r="F129" s="6"/>
      <c r="G129" s="6"/>
      <c r="H129" s="6"/>
      <c r="I129" s="6"/>
      <c r="J129" s="6"/>
      <c r="K129" s="6">
        <f t="shared" ref="K129:K131" si="47">IF(K122&gt;0,K123/K122,0)</f>
        <v>0</v>
      </c>
    </row>
    <row r="130" spans="1:11" x14ac:dyDescent="0.25">
      <c r="A130" s="2" t="s">
        <v>16</v>
      </c>
      <c r="B130" s="6"/>
      <c r="C130" s="6"/>
      <c r="D130" s="6"/>
      <c r="E130" s="6"/>
      <c r="F130" s="6"/>
      <c r="G130" s="6"/>
      <c r="H130" s="6"/>
      <c r="I130" s="6"/>
      <c r="J130" s="6"/>
      <c r="K130" s="6">
        <f t="shared" si="47"/>
        <v>0</v>
      </c>
    </row>
    <row r="131" spans="1:11" x14ac:dyDescent="0.25">
      <c r="A131" s="2" t="s">
        <v>17</v>
      </c>
      <c r="B131" s="6"/>
      <c r="C131" s="6"/>
      <c r="D131" s="6"/>
      <c r="E131" s="6"/>
      <c r="F131" s="6"/>
      <c r="G131" s="6"/>
      <c r="H131" s="6"/>
      <c r="I131" s="6"/>
      <c r="J131" s="6"/>
      <c r="K131" s="6">
        <f t="shared" si="47"/>
        <v>0</v>
      </c>
    </row>
    <row r="132" spans="1:11" x14ac:dyDescent="0.25">
      <c r="A132" s="2" t="s">
        <v>18</v>
      </c>
      <c r="B132" s="8"/>
      <c r="C132" s="8"/>
      <c r="D132" s="8"/>
      <c r="E132" s="8"/>
      <c r="F132" s="8"/>
      <c r="G132" s="8"/>
      <c r="H132" s="8"/>
      <c r="I132" s="8"/>
      <c r="J132" s="8"/>
      <c r="K132" s="8">
        <f t="shared" ref="K132:K134" si="48">IF(K122&gt;0,K$8/K122,0)</f>
        <v>0</v>
      </c>
    </row>
    <row r="133" spans="1:11" x14ac:dyDescent="0.25">
      <c r="A133" s="2" t="s">
        <v>19</v>
      </c>
      <c r="B133" s="8"/>
      <c r="C133" s="8"/>
      <c r="D133" s="8"/>
      <c r="E133" s="8"/>
      <c r="F133" s="8"/>
      <c r="G133" s="8"/>
      <c r="H133" s="8"/>
      <c r="I133" s="8"/>
      <c r="J133" s="8"/>
      <c r="K133" s="8">
        <f t="shared" si="48"/>
        <v>0</v>
      </c>
    </row>
    <row r="134" spans="1:11" x14ac:dyDescent="0.25">
      <c r="A134" s="2" t="s">
        <v>20</v>
      </c>
      <c r="B134" s="8"/>
      <c r="C134" s="8"/>
      <c r="D134" s="8"/>
      <c r="E134" s="8"/>
      <c r="F134" s="8"/>
      <c r="G134" s="8"/>
      <c r="H134" s="8"/>
      <c r="I134" s="8"/>
      <c r="J134" s="8"/>
      <c r="K134" s="8">
        <f t="shared" si="48"/>
        <v>0</v>
      </c>
    </row>
    <row r="135" spans="1:11" x14ac:dyDescent="0.25">
      <c r="A135" s="2" t="s">
        <v>22</v>
      </c>
      <c r="B135" s="8"/>
      <c r="C135" s="8"/>
      <c r="D135" s="8"/>
      <c r="E135" s="8"/>
      <c r="F135" s="8"/>
      <c r="G135" s="8"/>
      <c r="H135" s="8"/>
      <c r="I135" s="8"/>
      <c r="J135" s="8"/>
      <c r="K135" s="8">
        <f t="shared" ref="K135" si="49">IF(K125&gt;0,K126/K125,0)</f>
        <v>0</v>
      </c>
    </row>
    <row r="136" spans="1:11" x14ac:dyDescent="0.25">
      <c r="A136" s="2" t="s">
        <v>21</v>
      </c>
      <c r="B136" s="8"/>
      <c r="C136" s="8"/>
      <c r="D136" s="8"/>
      <c r="E136" s="8"/>
      <c r="F136" s="8"/>
      <c r="G136" s="8"/>
      <c r="H136" s="8"/>
      <c r="I136" s="8"/>
      <c r="J136" s="8"/>
      <c r="K136" s="8">
        <f t="shared" ref="K136" si="50">IF(K127&gt;0,(K126-K127)/K127,0)</f>
        <v>0</v>
      </c>
    </row>
    <row r="137" spans="1:11" x14ac:dyDescent="0.25">
      <c r="A137" s="2" t="s">
        <v>23</v>
      </c>
      <c r="B137" s="8"/>
      <c r="C137" s="8"/>
      <c r="D137" s="8"/>
      <c r="E137" s="8"/>
      <c r="F137" s="8"/>
      <c r="G137" s="8"/>
      <c r="H137" s="8"/>
      <c r="I137" s="8"/>
      <c r="J137" s="8"/>
      <c r="K137" s="8">
        <f t="shared" ref="K137" si="51">K126-K127</f>
        <v>0</v>
      </c>
    </row>
    <row r="138" spans="1:11" x14ac:dyDescent="0.25">
      <c r="A138" s="9" t="str">
        <f>VLOOKUP(INT((ROW()-1)/17)+1,Справочник!A:D,3,0)</f>
        <v>Март неделя 1 (01-06 мар.)</v>
      </c>
      <c r="B138" s="9">
        <f t="shared" ref="B138" si="52">B$2</f>
        <v>0</v>
      </c>
      <c r="C138" s="9">
        <f t="shared" si="38"/>
        <v>0</v>
      </c>
      <c r="D138" s="9">
        <f t="shared" si="38"/>
        <v>0</v>
      </c>
      <c r="E138" s="9">
        <f t="shared" si="38"/>
        <v>0</v>
      </c>
      <c r="F138" s="9">
        <f t="shared" si="38"/>
        <v>0</v>
      </c>
      <c r="G138" s="9">
        <f t="shared" si="38"/>
        <v>0</v>
      </c>
      <c r="H138" s="9">
        <f t="shared" si="38"/>
        <v>0</v>
      </c>
      <c r="I138" s="9">
        <f t="shared" si="38"/>
        <v>0</v>
      </c>
      <c r="J138" s="9">
        <f t="shared" si="38"/>
        <v>0</v>
      </c>
      <c r="K138" s="9">
        <f>'Учет данных'!K140</f>
        <v>0</v>
      </c>
    </row>
    <row r="139" spans="1:11" x14ac:dyDescent="0.25">
      <c r="A139" s="1" t="s">
        <v>0</v>
      </c>
      <c r="B139" s="99"/>
      <c r="C139" s="99"/>
      <c r="D139" s="7"/>
      <c r="E139" s="7"/>
      <c r="F139" s="7"/>
      <c r="G139" s="7"/>
      <c r="H139" s="7"/>
      <c r="I139" s="7"/>
      <c r="J139" s="7"/>
      <c r="K139" s="7">
        <f>SUM(B139:J139)</f>
        <v>0</v>
      </c>
    </row>
    <row r="140" spans="1:11" x14ac:dyDescent="0.25">
      <c r="A140" s="1" t="s">
        <v>1</v>
      </c>
      <c r="B140" s="100"/>
      <c r="C140" s="100"/>
      <c r="D140" s="7"/>
      <c r="E140" s="7"/>
      <c r="F140" s="7"/>
      <c r="G140" s="7"/>
      <c r="H140" s="7"/>
      <c r="I140" s="7"/>
      <c r="J140" s="7"/>
      <c r="K140" s="7">
        <f t="shared" si="32"/>
        <v>0</v>
      </c>
    </row>
    <row r="141" spans="1:11" x14ac:dyDescent="0.25">
      <c r="A141" s="1" t="s">
        <v>2</v>
      </c>
      <c r="D141" s="7"/>
      <c r="E141" s="7"/>
      <c r="F141" s="7"/>
      <c r="G141" s="7"/>
      <c r="H141" s="7"/>
      <c r="I141" s="7"/>
      <c r="J141" s="7"/>
      <c r="K141" s="7">
        <f t="shared" si="32"/>
        <v>0</v>
      </c>
    </row>
    <row r="142" spans="1:11" x14ac:dyDescent="0.25">
      <c r="A142" s="1" t="s">
        <v>3</v>
      </c>
      <c r="B142" s="100"/>
      <c r="C142" s="100"/>
      <c r="D142" s="7"/>
      <c r="E142" s="7"/>
      <c r="F142" s="7"/>
      <c r="G142" s="7"/>
      <c r="H142" s="7"/>
      <c r="I142" s="7"/>
      <c r="J142" s="7"/>
      <c r="K142" s="7">
        <f t="shared" si="32"/>
        <v>0</v>
      </c>
    </row>
    <row r="143" spans="1:11" x14ac:dyDescent="0.25">
      <c r="A143" s="1" t="s">
        <v>4</v>
      </c>
      <c r="B143" s="102"/>
      <c r="C143" s="102"/>
      <c r="D143" s="7"/>
      <c r="E143" s="7"/>
      <c r="F143" s="7"/>
      <c r="G143" s="7"/>
      <c r="H143" s="7"/>
      <c r="I143" s="7"/>
      <c r="J143" s="7"/>
      <c r="K143" s="7">
        <f t="shared" si="32"/>
        <v>0</v>
      </c>
    </row>
    <row r="144" spans="1:11" ht="15.75" thickBot="1" x14ac:dyDescent="0.3">
      <c r="A144" s="1" t="s">
        <v>5</v>
      </c>
      <c r="B144" s="105"/>
      <c r="C144" s="105"/>
      <c r="D144" s="7"/>
      <c r="E144" s="7"/>
      <c r="F144" s="7"/>
      <c r="G144" s="7"/>
      <c r="H144" s="7"/>
      <c r="I144" s="7"/>
      <c r="J144" s="7"/>
      <c r="K144" s="7">
        <f>SUM(B144:J144)</f>
        <v>0</v>
      </c>
    </row>
    <row r="146" spans="1:11" x14ac:dyDescent="0.25">
      <c r="A146" s="2" t="s">
        <v>15</v>
      </c>
      <c r="B146" s="6"/>
      <c r="C146" s="6"/>
      <c r="D146" s="6"/>
      <c r="E146" s="6"/>
      <c r="F146" s="6"/>
      <c r="G146" s="6"/>
      <c r="H146" s="6"/>
      <c r="I146" s="6"/>
      <c r="J146" s="6"/>
      <c r="K146" s="6">
        <f t="shared" ref="K146:K148" si="53">IF(K139&gt;0,K140/K139,0)</f>
        <v>0</v>
      </c>
    </row>
    <row r="147" spans="1:11" x14ac:dyDescent="0.25">
      <c r="A147" s="2" t="s">
        <v>16</v>
      </c>
      <c r="B147" s="6"/>
      <c r="C147" s="6"/>
      <c r="D147" s="6"/>
      <c r="E147" s="6"/>
      <c r="F147" s="6"/>
      <c r="G147" s="6"/>
      <c r="H147" s="6"/>
      <c r="I147" s="6"/>
      <c r="J147" s="6"/>
      <c r="K147" s="6">
        <f t="shared" si="53"/>
        <v>0</v>
      </c>
    </row>
    <row r="148" spans="1:11" x14ac:dyDescent="0.25">
      <c r="A148" s="2" t="s">
        <v>17</v>
      </c>
      <c r="B148" s="6"/>
      <c r="C148" s="6"/>
      <c r="D148" s="6"/>
      <c r="E148" s="6"/>
      <c r="F148" s="6"/>
      <c r="G148" s="6"/>
      <c r="H148" s="6"/>
      <c r="I148" s="6"/>
      <c r="J148" s="6"/>
      <c r="K148" s="6">
        <f t="shared" si="53"/>
        <v>0</v>
      </c>
    </row>
    <row r="149" spans="1:11" x14ac:dyDescent="0.25">
      <c r="A149" s="2" t="s">
        <v>18</v>
      </c>
      <c r="B149" s="8"/>
      <c r="C149" s="8"/>
      <c r="D149" s="8"/>
      <c r="E149" s="8"/>
      <c r="F149" s="8"/>
      <c r="G149" s="8"/>
      <c r="H149" s="8"/>
      <c r="I149" s="8"/>
      <c r="J149" s="8"/>
      <c r="K149" s="8">
        <f t="shared" ref="K149:K151" si="54">IF(K139&gt;0,K$8/K139,0)</f>
        <v>0</v>
      </c>
    </row>
    <row r="150" spans="1:11" x14ac:dyDescent="0.25">
      <c r="A150" s="2" t="s">
        <v>19</v>
      </c>
      <c r="B150" s="8"/>
      <c r="C150" s="8"/>
      <c r="D150" s="8"/>
      <c r="E150" s="8"/>
      <c r="F150" s="8"/>
      <c r="G150" s="8"/>
      <c r="H150" s="8"/>
      <c r="I150" s="8"/>
      <c r="J150" s="8"/>
      <c r="K150" s="8">
        <f t="shared" si="54"/>
        <v>0</v>
      </c>
    </row>
    <row r="151" spans="1:11" x14ac:dyDescent="0.25">
      <c r="A151" s="2" t="s">
        <v>20</v>
      </c>
      <c r="B151" s="8"/>
      <c r="C151" s="8"/>
      <c r="D151" s="8"/>
      <c r="E151" s="8"/>
      <c r="F151" s="8"/>
      <c r="G151" s="8"/>
      <c r="H151" s="8"/>
      <c r="I151" s="8"/>
      <c r="J151" s="8"/>
      <c r="K151" s="8">
        <f t="shared" si="54"/>
        <v>0</v>
      </c>
    </row>
    <row r="152" spans="1:11" x14ac:dyDescent="0.25">
      <c r="A152" s="2" t="s">
        <v>22</v>
      </c>
      <c r="B152" s="8"/>
      <c r="C152" s="8"/>
      <c r="D152" s="8"/>
      <c r="E152" s="8"/>
      <c r="F152" s="8"/>
      <c r="G152" s="8"/>
      <c r="H152" s="8"/>
      <c r="I152" s="8"/>
      <c r="J152" s="8"/>
      <c r="K152" s="8">
        <f t="shared" ref="K152" si="55">IF(K142&gt;0,K143/K142,0)</f>
        <v>0</v>
      </c>
    </row>
    <row r="153" spans="1:11" x14ac:dyDescent="0.25">
      <c r="A153" s="2" t="s">
        <v>21</v>
      </c>
      <c r="B153" s="8"/>
      <c r="C153" s="8"/>
      <c r="D153" s="8"/>
      <c r="E153" s="8"/>
      <c r="F153" s="8"/>
      <c r="G153" s="8"/>
      <c r="H153" s="8"/>
      <c r="I153" s="8"/>
      <c r="J153" s="8"/>
      <c r="K153" s="8">
        <f t="shared" ref="K153" si="56">IF(K144&gt;0,(K143-K144)/K144,0)</f>
        <v>0</v>
      </c>
    </row>
    <row r="154" spans="1:11" x14ac:dyDescent="0.25">
      <c r="A154" s="2" t="s">
        <v>23</v>
      </c>
      <c r="B154" s="8"/>
      <c r="C154" s="8"/>
      <c r="D154" s="8"/>
      <c r="E154" s="8"/>
      <c r="F154" s="8"/>
      <c r="G154" s="8"/>
      <c r="H154" s="8"/>
      <c r="I154" s="8"/>
      <c r="J154" s="8"/>
      <c r="K154" s="8">
        <f t="shared" ref="K154" si="57">K143-K144</f>
        <v>0</v>
      </c>
    </row>
    <row r="155" spans="1:11" x14ac:dyDescent="0.25">
      <c r="A155" s="9" t="str">
        <f>VLOOKUP(INT((ROW()-1)/17)+1,Справочник!A:D,3,0)</f>
        <v>Март неделя 2 (07-13 мар.)</v>
      </c>
      <c r="B155" s="9">
        <f t="shared" ref="B155" si="58">B$2</f>
        <v>0</v>
      </c>
      <c r="C155" s="9">
        <f t="shared" si="38"/>
        <v>0</v>
      </c>
      <c r="D155" s="9">
        <f t="shared" si="38"/>
        <v>0</v>
      </c>
      <c r="E155" s="9">
        <f t="shared" si="38"/>
        <v>0</v>
      </c>
      <c r="F155" s="9">
        <f t="shared" si="38"/>
        <v>0</v>
      </c>
      <c r="G155" s="9">
        <f t="shared" si="38"/>
        <v>0</v>
      </c>
      <c r="H155" s="9">
        <f t="shared" si="38"/>
        <v>0</v>
      </c>
      <c r="I155" s="9">
        <f t="shared" si="38"/>
        <v>0</v>
      </c>
      <c r="J155" s="9">
        <f t="shared" si="38"/>
        <v>0</v>
      </c>
      <c r="K155" s="9">
        <f>'Учет данных'!K157</f>
        <v>0</v>
      </c>
    </row>
    <row r="156" spans="1:11" x14ac:dyDescent="0.25">
      <c r="A156" s="1" t="s">
        <v>0</v>
      </c>
      <c r="B156" s="100"/>
      <c r="C156" s="7"/>
      <c r="D156" s="7"/>
      <c r="E156" s="101"/>
      <c r="F156" s="7"/>
      <c r="G156" s="7"/>
      <c r="H156" s="7"/>
      <c r="I156" s="7"/>
      <c r="J156" s="7"/>
      <c r="K156" s="7">
        <f t="shared" ref="K156" si="59">SUM(B156:J156)</f>
        <v>0</v>
      </c>
    </row>
    <row r="157" spans="1:11" x14ac:dyDescent="0.25">
      <c r="A157" s="1" t="s">
        <v>1</v>
      </c>
      <c r="B157" s="100"/>
      <c r="C157" s="7"/>
      <c r="D157" s="7"/>
      <c r="E157" s="101"/>
      <c r="F157" s="7"/>
      <c r="G157" s="7"/>
      <c r="H157" s="7"/>
      <c r="I157" s="7"/>
      <c r="J157" s="7"/>
      <c r="K157" s="7">
        <f t="shared" ref="K157:K211" si="60">SUM(B157:J157)</f>
        <v>0</v>
      </c>
    </row>
    <row r="158" spans="1:11" x14ac:dyDescent="0.25">
      <c r="A158" s="1" t="s">
        <v>2</v>
      </c>
      <c r="C158" s="7"/>
      <c r="D158" s="7"/>
      <c r="F158" s="7"/>
      <c r="G158" s="7"/>
      <c r="H158" s="7"/>
      <c r="I158" s="7"/>
      <c r="J158" s="7"/>
      <c r="K158" s="7">
        <f t="shared" si="60"/>
        <v>0</v>
      </c>
    </row>
    <row r="159" spans="1:11" x14ac:dyDescent="0.25">
      <c r="A159" s="1" t="s">
        <v>3</v>
      </c>
      <c r="B159" s="100"/>
      <c r="C159" s="7"/>
      <c r="D159" s="7"/>
      <c r="E159" s="101"/>
      <c r="F159" s="7"/>
      <c r="G159" s="7"/>
      <c r="H159" s="7"/>
      <c r="I159" s="7"/>
      <c r="J159" s="7"/>
      <c r="K159" s="7">
        <f t="shared" si="60"/>
        <v>0</v>
      </c>
    </row>
    <row r="160" spans="1:11" x14ac:dyDescent="0.25">
      <c r="A160" s="1" t="s">
        <v>4</v>
      </c>
      <c r="B160" s="103"/>
      <c r="C160" s="7"/>
      <c r="D160" s="7"/>
      <c r="E160" s="104"/>
      <c r="F160" s="7"/>
      <c r="G160" s="7"/>
      <c r="H160" s="7"/>
      <c r="I160" s="7"/>
      <c r="J160" s="7"/>
      <c r="K160" s="7">
        <f t="shared" si="60"/>
        <v>0</v>
      </c>
    </row>
    <row r="161" spans="1:11" ht="15.75" thickBot="1" x14ac:dyDescent="0.3">
      <c r="A161" s="1" t="s">
        <v>5</v>
      </c>
      <c r="B161" s="105"/>
      <c r="C161" s="7"/>
      <c r="D161" s="7"/>
      <c r="E161" s="104"/>
      <c r="F161" s="7"/>
      <c r="G161" s="7"/>
      <c r="H161" s="7"/>
      <c r="I161" s="7"/>
      <c r="J161" s="7"/>
      <c r="K161" s="7">
        <f>SUM(B161:J161)</f>
        <v>0</v>
      </c>
    </row>
    <row r="163" spans="1:11" x14ac:dyDescent="0.25">
      <c r="A163" s="2" t="s">
        <v>15</v>
      </c>
      <c r="B163" s="6"/>
      <c r="C163" s="6"/>
      <c r="D163" s="6"/>
      <c r="E163" s="6"/>
      <c r="F163" s="6"/>
      <c r="G163" s="6"/>
      <c r="H163" s="6"/>
      <c r="I163" s="6"/>
      <c r="J163" s="6"/>
      <c r="K163" s="6">
        <f t="shared" ref="K163:K165" si="61">IF(K156&gt;0,K157/K156,0)</f>
        <v>0</v>
      </c>
    </row>
    <row r="164" spans="1:11" x14ac:dyDescent="0.25">
      <c r="A164" s="2" t="s">
        <v>16</v>
      </c>
      <c r="B164" s="6"/>
      <c r="C164" s="6"/>
      <c r="D164" s="6"/>
      <c r="E164" s="6"/>
      <c r="F164" s="6"/>
      <c r="G164" s="6"/>
      <c r="H164" s="6"/>
      <c r="I164" s="6"/>
      <c r="J164" s="6"/>
      <c r="K164" s="6">
        <f t="shared" si="61"/>
        <v>0</v>
      </c>
    </row>
    <row r="165" spans="1:11" x14ac:dyDescent="0.25">
      <c r="A165" s="2" t="s">
        <v>17</v>
      </c>
      <c r="B165" s="6"/>
      <c r="C165" s="6"/>
      <c r="D165" s="6"/>
      <c r="E165" s="6"/>
      <c r="F165" s="6"/>
      <c r="G165" s="6"/>
      <c r="H165" s="6"/>
      <c r="I165" s="6"/>
      <c r="J165" s="6"/>
      <c r="K165" s="6">
        <f t="shared" si="61"/>
        <v>0</v>
      </c>
    </row>
    <row r="166" spans="1:11" x14ac:dyDescent="0.25">
      <c r="A166" s="2" t="s">
        <v>18</v>
      </c>
      <c r="B166" s="8"/>
      <c r="C166" s="8"/>
      <c r="D166" s="8"/>
      <c r="E166" s="8"/>
      <c r="F166" s="8"/>
      <c r="G166" s="8"/>
      <c r="H166" s="8"/>
      <c r="I166" s="8"/>
      <c r="J166" s="8"/>
      <c r="K166" s="8">
        <f t="shared" ref="K166:K168" si="62">IF(K156&gt;0,K$8/K156,0)</f>
        <v>0</v>
      </c>
    </row>
    <row r="167" spans="1:11" x14ac:dyDescent="0.25">
      <c r="A167" s="2" t="s">
        <v>19</v>
      </c>
      <c r="B167" s="8"/>
      <c r="C167" s="8"/>
      <c r="D167" s="8"/>
      <c r="E167" s="8"/>
      <c r="F167" s="8"/>
      <c r="G167" s="8"/>
      <c r="H167" s="8"/>
      <c r="I167" s="8"/>
      <c r="J167" s="8"/>
      <c r="K167" s="8">
        <f t="shared" si="62"/>
        <v>0</v>
      </c>
    </row>
    <row r="168" spans="1:11" x14ac:dyDescent="0.25">
      <c r="A168" s="2" t="s">
        <v>20</v>
      </c>
      <c r="B168" s="8"/>
      <c r="C168" s="8"/>
      <c r="D168" s="8"/>
      <c r="E168" s="8"/>
      <c r="F168" s="8"/>
      <c r="G168" s="8"/>
      <c r="H168" s="8"/>
      <c r="I168" s="8"/>
      <c r="J168" s="8"/>
      <c r="K168" s="8">
        <f t="shared" si="62"/>
        <v>0</v>
      </c>
    </row>
    <row r="169" spans="1:11" x14ac:dyDescent="0.25">
      <c r="A169" s="2" t="s">
        <v>22</v>
      </c>
      <c r="B169" s="8"/>
      <c r="C169" s="8"/>
      <c r="D169" s="8"/>
      <c r="E169" s="8"/>
      <c r="F169" s="8"/>
      <c r="G169" s="8"/>
      <c r="H169" s="8"/>
      <c r="I169" s="8"/>
      <c r="J169" s="8"/>
      <c r="K169" s="8">
        <f t="shared" ref="K169" si="63">IF(K159&gt;0,K160/K159,0)</f>
        <v>0</v>
      </c>
    </row>
    <row r="170" spans="1:11" x14ac:dyDescent="0.25">
      <c r="A170" s="2" t="s">
        <v>21</v>
      </c>
      <c r="B170" s="8"/>
      <c r="C170" s="8"/>
      <c r="D170" s="8"/>
      <c r="E170" s="8"/>
      <c r="F170" s="8"/>
      <c r="G170" s="8"/>
      <c r="H170" s="8"/>
      <c r="I170" s="8"/>
      <c r="J170" s="8"/>
      <c r="K170" s="8">
        <f t="shared" ref="K170" si="64">IF(K161&gt;0,(K160-K161)/K161,0)</f>
        <v>0</v>
      </c>
    </row>
    <row r="171" spans="1:11" x14ac:dyDescent="0.25">
      <c r="A171" s="2" t="s">
        <v>23</v>
      </c>
      <c r="B171" s="8"/>
      <c r="C171" s="8"/>
      <c r="D171" s="8"/>
      <c r="E171" s="8"/>
      <c r="F171" s="8"/>
      <c r="G171" s="8"/>
      <c r="H171" s="8"/>
      <c r="I171" s="8"/>
      <c r="J171" s="8"/>
      <c r="K171" s="8">
        <f t="shared" ref="K171" si="65">K160-K161</f>
        <v>0</v>
      </c>
    </row>
    <row r="172" spans="1:11" x14ac:dyDescent="0.25">
      <c r="A172" s="9" t="str">
        <f>VLOOKUP(INT((ROW()-1)/17)+1,Справочник!A:D,3,0)</f>
        <v>Март неделя 3 (14-20 мар.)</v>
      </c>
      <c r="B172" s="9">
        <f t="shared" ref="B172:J223" si="66">B$2</f>
        <v>0</v>
      </c>
      <c r="C172" s="9">
        <f t="shared" si="66"/>
        <v>0</v>
      </c>
      <c r="D172" s="9">
        <f t="shared" si="66"/>
        <v>0</v>
      </c>
      <c r="E172" s="9">
        <f t="shared" si="66"/>
        <v>0</v>
      </c>
      <c r="F172" s="9">
        <f t="shared" si="66"/>
        <v>0</v>
      </c>
      <c r="G172" s="9">
        <f t="shared" si="66"/>
        <v>0</v>
      </c>
      <c r="H172" s="9">
        <f t="shared" si="66"/>
        <v>0</v>
      </c>
      <c r="I172" s="9">
        <f t="shared" si="66"/>
        <v>0</v>
      </c>
      <c r="J172" s="9">
        <f t="shared" si="66"/>
        <v>0</v>
      </c>
      <c r="K172" s="9">
        <f>'Учет данных'!K174</f>
        <v>0</v>
      </c>
    </row>
    <row r="173" spans="1:11" x14ac:dyDescent="0.25">
      <c r="A173" s="1" t="s">
        <v>0</v>
      </c>
      <c r="B173" s="100"/>
      <c r="C173" s="100"/>
      <c r="D173" s="7"/>
      <c r="E173" s="7"/>
      <c r="F173" s="7"/>
      <c r="G173" s="7"/>
      <c r="H173" s="7"/>
      <c r="I173" s="7"/>
      <c r="J173" s="7"/>
      <c r="K173" s="7">
        <f t="shared" ref="K173" si="67">SUM(B173:J173)</f>
        <v>0</v>
      </c>
    </row>
    <row r="174" spans="1:11" x14ac:dyDescent="0.25">
      <c r="A174" s="1" t="s">
        <v>1</v>
      </c>
      <c r="B174" s="100"/>
      <c r="C174" s="100"/>
      <c r="D174" s="7"/>
      <c r="E174" s="7"/>
      <c r="F174" s="7"/>
      <c r="G174" s="7"/>
      <c r="H174" s="7"/>
      <c r="I174" s="7"/>
      <c r="J174" s="7"/>
      <c r="K174" s="7">
        <f t="shared" si="60"/>
        <v>0</v>
      </c>
    </row>
    <row r="175" spans="1:11" x14ac:dyDescent="0.25">
      <c r="A175" s="1" t="s">
        <v>2</v>
      </c>
      <c r="D175" s="7"/>
      <c r="E175" s="7"/>
      <c r="F175" s="7"/>
      <c r="G175" s="7"/>
      <c r="H175" s="7"/>
      <c r="I175" s="7"/>
      <c r="J175" s="7"/>
      <c r="K175" s="7">
        <f t="shared" si="60"/>
        <v>0</v>
      </c>
    </row>
    <row r="176" spans="1:11" x14ac:dyDescent="0.25">
      <c r="A176" s="1" t="s">
        <v>3</v>
      </c>
      <c r="B176" s="100"/>
      <c r="C176" s="100"/>
      <c r="D176" s="7"/>
      <c r="E176" s="7"/>
      <c r="F176" s="7"/>
      <c r="G176" s="7"/>
      <c r="H176" s="7"/>
      <c r="I176" s="7"/>
      <c r="J176" s="7"/>
      <c r="K176" s="7">
        <f t="shared" si="60"/>
        <v>0</v>
      </c>
    </row>
    <row r="177" spans="1:11" x14ac:dyDescent="0.25">
      <c r="A177" s="1" t="s">
        <v>4</v>
      </c>
      <c r="B177" s="103"/>
      <c r="C177" s="103"/>
      <c r="D177" s="7"/>
      <c r="E177" s="7"/>
      <c r="F177" s="7"/>
      <c r="G177" s="7"/>
      <c r="H177" s="7"/>
      <c r="I177" s="7"/>
      <c r="J177" s="7"/>
      <c r="K177" s="7">
        <f t="shared" si="60"/>
        <v>0</v>
      </c>
    </row>
    <row r="178" spans="1:11" ht="15.75" thickBot="1" x14ac:dyDescent="0.3">
      <c r="A178" s="1" t="s">
        <v>5</v>
      </c>
      <c r="B178" s="105"/>
      <c r="C178" s="105"/>
      <c r="D178" s="7"/>
      <c r="E178" s="7"/>
      <c r="F178" s="7"/>
      <c r="G178" s="7"/>
      <c r="H178" s="7"/>
      <c r="I178" s="7"/>
      <c r="J178" s="7"/>
      <c r="K178" s="7">
        <f>SUM(B178:J178)</f>
        <v>0</v>
      </c>
    </row>
    <row r="180" spans="1:11" x14ac:dyDescent="0.25">
      <c r="A180" s="2" t="s">
        <v>15</v>
      </c>
      <c r="B180" s="6"/>
      <c r="C180" s="6"/>
      <c r="D180" s="6"/>
      <c r="E180" s="6"/>
      <c r="F180" s="6"/>
      <c r="G180" s="6"/>
      <c r="H180" s="6"/>
      <c r="I180" s="6"/>
      <c r="J180" s="6"/>
      <c r="K180" s="6">
        <f t="shared" ref="K180:K182" si="68">IF(K173&gt;0,K174/K173,0)</f>
        <v>0</v>
      </c>
    </row>
    <row r="181" spans="1:11" x14ac:dyDescent="0.25">
      <c r="A181" s="2" t="s">
        <v>16</v>
      </c>
      <c r="B181" s="6"/>
      <c r="C181" s="6"/>
      <c r="D181" s="6"/>
      <c r="E181" s="6"/>
      <c r="F181" s="6"/>
      <c r="G181" s="6"/>
      <c r="H181" s="6"/>
      <c r="I181" s="6"/>
      <c r="J181" s="6"/>
      <c r="K181" s="6">
        <f t="shared" si="68"/>
        <v>0</v>
      </c>
    </row>
    <row r="182" spans="1:11" x14ac:dyDescent="0.25">
      <c r="A182" s="2" t="s">
        <v>17</v>
      </c>
      <c r="B182" s="6"/>
      <c r="C182" s="6"/>
      <c r="D182" s="6"/>
      <c r="E182" s="6"/>
      <c r="F182" s="6"/>
      <c r="G182" s="6"/>
      <c r="H182" s="6"/>
      <c r="I182" s="6"/>
      <c r="J182" s="6"/>
      <c r="K182" s="6">
        <f t="shared" si="68"/>
        <v>0</v>
      </c>
    </row>
    <row r="183" spans="1:11" x14ac:dyDescent="0.25">
      <c r="A183" s="2" t="s">
        <v>18</v>
      </c>
      <c r="B183" s="8"/>
      <c r="C183" s="8"/>
      <c r="D183" s="8"/>
      <c r="E183" s="8"/>
      <c r="F183" s="8"/>
      <c r="G183" s="8"/>
      <c r="H183" s="8"/>
      <c r="I183" s="8"/>
      <c r="J183" s="8"/>
      <c r="K183" s="8">
        <f t="shared" ref="K183:K185" si="69">IF(K173&gt;0,K$8/K173,0)</f>
        <v>0</v>
      </c>
    </row>
    <row r="184" spans="1:11" x14ac:dyDescent="0.25">
      <c r="A184" s="2" t="s">
        <v>19</v>
      </c>
      <c r="B184" s="8"/>
      <c r="C184" s="8"/>
      <c r="D184" s="8"/>
      <c r="E184" s="8"/>
      <c r="F184" s="8"/>
      <c r="G184" s="8"/>
      <c r="H184" s="8"/>
      <c r="I184" s="8"/>
      <c r="J184" s="8"/>
      <c r="K184" s="8">
        <f t="shared" si="69"/>
        <v>0</v>
      </c>
    </row>
    <row r="185" spans="1:11" x14ac:dyDescent="0.25">
      <c r="A185" s="2" t="s">
        <v>20</v>
      </c>
      <c r="B185" s="8"/>
      <c r="C185" s="8"/>
      <c r="D185" s="8"/>
      <c r="E185" s="8"/>
      <c r="F185" s="8"/>
      <c r="G185" s="8"/>
      <c r="H185" s="8"/>
      <c r="I185" s="8"/>
      <c r="J185" s="8"/>
      <c r="K185" s="8">
        <f t="shared" si="69"/>
        <v>0</v>
      </c>
    </row>
    <row r="186" spans="1:11" x14ac:dyDescent="0.25">
      <c r="A186" s="2" t="s">
        <v>22</v>
      </c>
      <c r="B186" s="8"/>
      <c r="C186" s="8"/>
      <c r="D186" s="8"/>
      <c r="E186" s="8"/>
      <c r="F186" s="8"/>
      <c r="G186" s="8"/>
      <c r="H186" s="8"/>
      <c r="I186" s="8"/>
      <c r="J186" s="8"/>
      <c r="K186" s="8">
        <f t="shared" ref="K186" si="70">IF(K176&gt;0,K177/K176,0)</f>
        <v>0</v>
      </c>
    </row>
    <row r="187" spans="1:11" x14ac:dyDescent="0.25">
      <c r="A187" s="2" t="s">
        <v>21</v>
      </c>
      <c r="B187" s="8"/>
      <c r="C187" s="8"/>
      <c r="D187" s="8"/>
      <c r="E187" s="8"/>
      <c r="F187" s="8"/>
      <c r="G187" s="8"/>
      <c r="H187" s="8"/>
      <c r="I187" s="8"/>
      <c r="J187" s="8"/>
      <c r="K187" s="8">
        <f t="shared" ref="K187" si="71">IF(K178&gt;0,(K177-K178)/K178,0)</f>
        <v>0</v>
      </c>
    </row>
    <row r="188" spans="1:11" x14ac:dyDescent="0.25">
      <c r="A188" s="2" t="s">
        <v>23</v>
      </c>
      <c r="B188" s="8"/>
      <c r="C188" s="8"/>
      <c r="D188" s="8"/>
      <c r="E188" s="8"/>
      <c r="F188" s="8"/>
      <c r="G188" s="8"/>
      <c r="H188" s="8"/>
      <c r="I188" s="8"/>
      <c r="J188" s="8"/>
      <c r="K188" s="8">
        <f t="shared" ref="K188" si="72">K177-K178</f>
        <v>0</v>
      </c>
    </row>
    <row r="189" spans="1:11" x14ac:dyDescent="0.25">
      <c r="A189" s="9" t="str">
        <f>VLOOKUP(INT((ROW()-1)/17)+1,Справочник!A:D,3,0)</f>
        <v>Март неделя 4 (21-31 мар.)</v>
      </c>
      <c r="B189" s="9">
        <f t="shared" ref="B189" si="73">B$2</f>
        <v>0</v>
      </c>
      <c r="C189" s="9">
        <f t="shared" si="66"/>
        <v>0</v>
      </c>
      <c r="D189" s="9">
        <f t="shared" si="66"/>
        <v>0</v>
      </c>
      <c r="E189" s="9">
        <f t="shared" si="66"/>
        <v>0</v>
      </c>
      <c r="F189" s="9">
        <f t="shared" si="66"/>
        <v>0</v>
      </c>
      <c r="G189" s="9">
        <f t="shared" si="66"/>
        <v>0</v>
      </c>
      <c r="H189" s="9">
        <f t="shared" si="66"/>
        <v>0</v>
      </c>
      <c r="I189" s="9">
        <f t="shared" si="66"/>
        <v>0</v>
      </c>
      <c r="J189" s="9">
        <f t="shared" si="66"/>
        <v>0</v>
      </c>
      <c r="K189" s="9">
        <f>'Учет данных'!K191</f>
        <v>0</v>
      </c>
    </row>
    <row r="190" spans="1:11" x14ac:dyDescent="0.25">
      <c r="A190" s="1" t="s">
        <v>0</v>
      </c>
      <c r="B190" s="99"/>
      <c r="C190" s="99"/>
      <c r="D190" s="7"/>
      <c r="E190" s="101"/>
      <c r="F190" s="7"/>
      <c r="G190" s="7"/>
      <c r="H190" s="7"/>
      <c r="I190" s="7"/>
      <c r="J190" s="7"/>
      <c r="K190" s="7">
        <f t="shared" ref="K190" si="74">SUM(B190:J190)</f>
        <v>0</v>
      </c>
    </row>
    <row r="191" spans="1:11" x14ac:dyDescent="0.25">
      <c r="A191" s="1" t="s">
        <v>1</v>
      </c>
      <c r="B191" s="100"/>
      <c r="C191" s="100"/>
      <c r="D191" s="7"/>
      <c r="E191" s="101"/>
      <c r="F191" s="7"/>
      <c r="G191" s="7"/>
      <c r="H191" s="7"/>
      <c r="I191" s="7"/>
      <c r="J191" s="7"/>
      <c r="K191" s="7">
        <f t="shared" si="60"/>
        <v>0</v>
      </c>
    </row>
    <row r="192" spans="1:11" x14ac:dyDescent="0.25">
      <c r="A192" s="1" t="s">
        <v>2</v>
      </c>
      <c r="D192" s="7"/>
      <c r="F192" s="7"/>
      <c r="G192" s="7"/>
      <c r="H192" s="7"/>
      <c r="I192" s="7"/>
      <c r="J192" s="7"/>
      <c r="K192" s="7">
        <f t="shared" si="60"/>
        <v>0</v>
      </c>
    </row>
    <row r="193" spans="1:11" x14ac:dyDescent="0.25">
      <c r="A193" s="1" t="s">
        <v>3</v>
      </c>
      <c r="B193" s="100"/>
      <c r="C193" s="100"/>
      <c r="D193" s="7"/>
      <c r="E193" s="101"/>
      <c r="F193" s="7"/>
      <c r="G193" s="7"/>
      <c r="H193" s="7"/>
      <c r="I193" s="7"/>
      <c r="J193" s="7"/>
      <c r="K193" s="7">
        <f t="shared" si="60"/>
        <v>0</v>
      </c>
    </row>
    <row r="194" spans="1:11" x14ac:dyDescent="0.25">
      <c r="A194" s="1" t="s">
        <v>4</v>
      </c>
      <c r="B194" s="102"/>
      <c r="C194" s="102"/>
      <c r="D194" s="7"/>
      <c r="E194" s="104"/>
      <c r="F194" s="7"/>
      <c r="G194" s="7"/>
      <c r="H194" s="7"/>
      <c r="I194" s="7"/>
      <c r="J194" s="7"/>
      <c r="K194" s="7">
        <f t="shared" si="60"/>
        <v>0</v>
      </c>
    </row>
    <row r="195" spans="1:11" ht="15.75" thickBot="1" x14ac:dyDescent="0.3">
      <c r="A195" s="1" t="s">
        <v>5</v>
      </c>
      <c r="B195" s="105"/>
      <c r="C195" s="105"/>
      <c r="D195" s="7"/>
      <c r="E195" s="104"/>
      <c r="F195" s="7"/>
      <c r="G195" s="7"/>
      <c r="H195" s="7"/>
      <c r="I195" s="7"/>
      <c r="J195" s="7"/>
      <c r="K195" s="7">
        <f>SUM(B195:J195)</f>
        <v>0</v>
      </c>
    </row>
    <row r="197" spans="1:11" x14ac:dyDescent="0.25">
      <c r="A197" s="2" t="s">
        <v>15</v>
      </c>
      <c r="B197" s="6"/>
      <c r="C197" s="6"/>
      <c r="D197" s="6"/>
      <c r="E197" s="6"/>
      <c r="F197" s="6"/>
      <c r="G197" s="6"/>
      <c r="H197" s="6"/>
      <c r="I197" s="6"/>
      <c r="J197" s="6"/>
      <c r="K197" s="6">
        <f t="shared" ref="K197:K199" si="75">IF(K190&gt;0,K191/K190,0)</f>
        <v>0</v>
      </c>
    </row>
    <row r="198" spans="1:11" x14ac:dyDescent="0.25">
      <c r="A198" s="2" t="s">
        <v>16</v>
      </c>
      <c r="B198" s="6"/>
      <c r="C198" s="6"/>
      <c r="D198" s="6"/>
      <c r="E198" s="6"/>
      <c r="F198" s="6"/>
      <c r="G198" s="6"/>
      <c r="H198" s="6"/>
      <c r="I198" s="6"/>
      <c r="J198" s="6"/>
      <c r="K198" s="6">
        <f t="shared" si="75"/>
        <v>0</v>
      </c>
    </row>
    <row r="199" spans="1:11" x14ac:dyDescent="0.25">
      <c r="A199" s="2" t="s">
        <v>17</v>
      </c>
      <c r="B199" s="6"/>
      <c r="C199" s="6"/>
      <c r="D199" s="6"/>
      <c r="E199" s="6"/>
      <c r="F199" s="6"/>
      <c r="G199" s="6"/>
      <c r="H199" s="6"/>
      <c r="I199" s="6"/>
      <c r="J199" s="6"/>
      <c r="K199" s="6">
        <f t="shared" si="75"/>
        <v>0</v>
      </c>
    </row>
    <row r="200" spans="1:11" x14ac:dyDescent="0.25">
      <c r="A200" s="2" t="s">
        <v>18</v>
      </c>
      <c r="B200" s="8"/>
      <c r="C200" s="8"/>
      <c r="D200" s="8"/>
      <c r="E200" s="8"/>
      <c r="F200" s="8"/>
      <c r="G200" s="8"/>
      <c r="H200" s="8"/>
      <c r="I200" s="8"/>
      <c r="J200" s="8"/>
      <c r="K200" s="8">
        <f t="shared" ref="K200:K202" si="76">IF(K190&gt;0,K$8/K190,0)</f>
        <v>0</v>
      </c>
    </row>
    <row r="201" spans="1:11" x14ac:dyDescent="0.25">
      <c r="A201" s="2" t="s">
        <v>19</v>
      </c>
      <c r="B201" s="8"/>
      <c r="C201" s="8"/>
      <c r="D201" s="8"/>
      <c r="E201" s="8"/>
      <c r="F201" s="8"/>
      <c r="G201" s="8"/>
      <c r="H201" s="8"/>
      <c r="I201" s="8"/>
      <c r="J201" s="8"/>
      <c r="K201" s="8">
        <f t="shared" si="76"/>
        <v>0</v>
      </c>
    </row>
    <row r="202" spans="1:11" x14ac:dyDescent="0.25">
      <c r="A202" s="2" t="s">
        <v>20</v>
      </c>
      <c r="B202" s="8"/>
      <c r="C202" s="8"/>
      <c r="D202" s="8"/>
      <c r="E202" s="8"/>
      <c r="F202" s="8"/>
      <c r="G202" s="8"/>
      <c r="H202" s="8"/>
      <c r="I202" s="8"/>
      <c r="J202" s="8"/>
      <c r="K202" s="8">
        <f t="shared" si="76"/>
        <v>0</v>
      </c>
    </row>
    <row r="203" spans="1:11" x14ac:dyDescent="0.25">
      <c r="A203" s="2" t="s">
        <v>22</v>
      </c>
      <c r="B203" s="8"/>
      <c r="C203" s="8"/>
      <c r="D203" s="8"/>
      <c r="E203" s="8"/>
      <c r="F203" s="8"/>
      <c r="G203" s="8"/>
      <c r="H203" s="8"/>
      <c r="I203" s="8"/>
      <c r="J203" s="8"/>
      <c r="K203" s="8">
        <f t="shared" ref="K203" si="77">IF(K193&gt;0,K194/K193,0)</f>
        <v>0</v>
      </c>
    </row>
    <row r="204" spans="1:11" x14ac:dyDescent="0.25">
      <c r="A204" s="2" t="s">
        <v>21</v>
      </c>
      <c r="B204" s="8"/>
      <c r="C204" s="8"/>
      <c r="D204" s="8"/>
      <c r="E204" s="8"/>
      <c r="F204" s="8"/>
      <c r="G204" s="8"/>
      <c r="H204" s="8"/>
      <c r="I204" s="8"/>
      <c r="J204" s="8"/>
      <c r="K204" s="8">
        <f t="shared" ref="K204" si="78">IF(K195&gt;0,(K194-K195)/K195,0)</f>
        <v>0</v>
      </c>
    </row>
    <row r="205" spans="1:11" x14ac:dyDescent="0.25">
      <c r="A205" s="2" t="s">
        <v>23</v>
      </c>
      <c r="B205" s="8"/>
      <c r="C205" s="8"/>
      <c r="D205" s="8"/>
      <c r="E205" s="8"/>
      <c r="F205" s="8"/>
      <c r="G205" s="8"/>
      <c r="H205" s="8"/>
      <c r="I205" s="8"/>
      <c r="J205" s="8"/>
      <c r="K205" s="8">
        <f t="shared" ref="K205" si="79">K194-K195</f>
        <v>0</v>
      </c>
    </row>
    <row r="206" spans="1:11" x14ac:dyDescent="0.25">
      <c r="A206" s="9" t="str">
        <f>VLOOKUP(INT((ROW()-1)/17)+1,Справочник!A:D,3,0)</f>
        <v>Апрель неделя 1 (01-10 апр.)</v>
      </c>
      <c r="B206" s="9">
        <f t="shared" ref="B206" si="80">B$2</f>
        <v>0</v>
      </c>
      <c r="C206" s="9">
        <f t="shared" si="66"/>
        <v>0</v>
      </c>
      <c r="D206" s="9">
        <f t="shared" si="66"/>
        <v>0</v>
      </c>
      <c r="E206" s="9">
        <f t="shared" si="66"/>
        <v>0</v>
      </c>
      <c r="F206" s="9">
        <f t="shared" si="66"/>
        <v>0</v>
      </c>
      <c r="G206" s="9">
        <f t="shared" si="66"/>
        <v>0</v>
      </c>
      <c r="H206" s="9">
        <f t="shared" si="66"/>
        <v>0</v>
      </c>
      <c r="I206" s="9">
        <f t="shared" si="66"/>
        <v>0</v>
      </c>
      <c r="J206" s="9">
        <f t="shared" si="66"/>
        <v>0</v>
      </c>
      <c r="K206" s="9">
        <f>'Учет данных'!K208</f>
        <v>0</v>
      </c>
    </row>
    <row r="207" spans="1:11" x14ac:dyDescent="0.25">
      <c r="A207" s="1" t="s">
        <v>0</v>
      </c>
      <c r="B207" s="99"/>
      <c r="C207" s="99"/>
      <c r="D207" s="100"/>
      <c r="E207" s="101"/>
      <c r="F207" s="7"/>
      <c r="G207" s="7"/>
      <c r="H207" s="7"/>
      <c r="I207" s="7"/>
      <c r="J207" s="7"/>
      <c r="K207" s="7">
        <f t="shared" ref="K207" si="81">SUM(B207:J207)</f>
        <v>0</v>
      </c>
    </row>
    <row r="208" spans="1:11" x14ac:dyDescent="0.25">
      <c r="A208" s="1" t="s">
        <v>1</v>
      </c>
      <c r="B208" s="100"/>
      <c r="C208" s="100"/>
      <c r="D208" s="100"/>
      <c r="E208" s="101"/>
      <c r="F208" s="7"/>
      <c r="G208" s="7"/>
      <c r="H208" s="7"/>
      <c r="I208" s="7"/>
      <c r="J208" s="7"/>
      <c r="K208" s="7">
        <f t="shared" si="60"/>
        <v>0</v>
      </c>
    </row>
    <row r="209" spans="1:11" x14ac:dyDescent="0.25">
      <c r="A209" s="1" t="s">
        <v>2</v>
      </c>
      <c r="F209" s="7"/>
      <c r="G209" s="7"/>
      <c r="H209" s="7"/>
      <c r="I209" s="7"/>
      <c r="J209" s="7"/>
      <c r="K209" s="7">
        <f t="shared" si="60"/>
        <v>0</v>
      </c>
    </row>
    <row r="210" spans="1:11" x14ac:dyDescent="0.25">
      <c r="A210" s="1" t="s">
        <v>3</v>
      </c>
      <c r="B210" s="100"/>
      <c r="C210" s="100"/>
      <c r="D210" s="100"/>
      <c r="E210" s="101"/>
      <c r="F210" s="7"/>
      <c r="G210" s="7"/>
      <c r="H210" s="7"/>
      <c r="I210" s="7"/>
      <c r="J210" s="7"/>
      <c r="K210" s="7">
        <f t="shared" si="60"/>
        <v>0</v>
      </c>
    </row>
    <row r="211" spans="1:11" x14ac:dyDescent="0.25">
      <c r="A211" s="1" t="s">
        <v>4</v>
      </c>
      <c r="B211" s="102"/>
      <c r="C211" s="102"/>
      <c r="D211" s="103"/>
      <c r="E211" s="104"/>
      <c r="F211" s="7"/>
      <c r="G211" s="7"/>
      <c r="H211" s="7"/>
      <c r="I211" s="7"/>
      <c r="J211" s="7"/>
      <c r="K211" s="7">
        <f t="shared" si="60"/>
        <v>0</v>
      </c>
    </row>
    <row r="212" spans="1:11" ht="15.75" thickBot="1" x14ac:dyDescent="0.3">
      <c r="A212" s="1" t="s">
        <v>5</v>
      </c>
      <c r="B212" s="105"/>
      <c r="C212" s="105"/>
      <c r="D212" s="105"/>
      <c r="E212" s="106"/>
      <c r="F212" s="7"/>
      <c r="G212" s="7"/>
      <c r="H212" s="7"/>
      <c r="I212" s="7"/>
      <c r="J212" s="7"/>
      <c r="K212" s="7">
        <f>SUM(B212:J212)</f>
        <v>0</v>
      </c>
    </row>
    <row r="214" spans="1:11" x14ac:dyDescent="0.25">
      <c r="A214" s="2" t="s">
        <v>15</v>
      </c>
      <c r="B214" s="6"/>
      <c r="C214" s="6"/>
      <c r="D214" s="6"/>
      <c r="E214" s="6"/>
      <c r="F214" s="6"/>
      <c r="G214" s="6"/>
      <c r="H214" s="6"/>
      <c r="I214" s="6"/>
      <c r="J214" s="6"/>
      <c r="K214" s="6">
        <f t="shared" ref="K214:K216" si="82">IF(K207&gt;0,K208/K207,0)</f>
        <v>0</v>
      </c>
    </row>
    <row r="215" spans="1:11" x14ac:dyDescent="0.25">
      <c r="A215" s="2" t="s">
        <v>16</v>
      </c>
      <c r="B215" s="6"/>
      <c r="C215" s="6"/>
      <c r="D215" s="6"/>
      <c r="E215" s="6"/>
      <c r="F215" s="6"/>
      <c r="G215" s="6"/>
      <c r="H215" s="6"/>
      <c r="I215" s="6"/>
      <c r="J215" s="6"/>
      <c r="K215" s="6">
        <f t="shared" si="82"/>
        <v>0</v>
      </c>
    </row>
    <row r="216" spans="1:11" x14ac:dyDescent="0.25">
      <c r="A216" s="2" t="s">
        <v>17</v>
      </c>
      <c r="B216" s="6"/>
      <c r="C216" s="6"/>
      <c r="D216" s="6"/>
      <c r="E216" s="6"/>
      <c r="F216" s="6"/>
      <c r="G216" s="6"/>
      <c r="H216" s="6"/>
      <c r="I216" s="6"/>
      <c r="J216" s="6"/>
      <c r="K216" s="6">
        <f t="shared" si="82"/>
        <v>0</v>
      </c>
    </row>
    <row r="217" spans="1:11" x14ac:dyDescent="0.25">
      <c r="A217" s="2" t="s">
        <v>18</v>
      </c>
      <c r="B217" s="8"/>
      <c r="C217" s="8"/>
      <c r="D217" s="8"/>
      <c r="E217" s="8"/>
      <c r="F217" s="8"/>
      <c r="G217" s="8"/>
      <c r="H217" s="8"/>
      <c r="I217" s="8"/>
      <c r="J217" s="8"/>
      <c r="K217" s="8">
        <f t="shared" ref="K217:K219" si="83">IF(K207&gt;0,K$8/K207,0)</f>
        <v>0</v>
      </c>
    </row>
    <row r="218" spans="1:11" x14ac:dyDescent="0.25">
      <c r="A218" s="2" t="s">
        <v>19</v>
      </c>
      <c r="B218" s="8"/>
      <c r="C218" s="8"/>
      <c r="D218" s="8"/>
      <c r="E218" s="8"/>
      <c r="F218" s="8"/>
      <c r="G218" s="8"/>
      <c r="H218" s="8"/>
      <c r="I218" s="8"/>
      <c r="J218" s="8"/>
      <c r="K218" s="8">
        <f t="shared" si="83"/>
        <v>0</v>
      </c>
    </row>
    <row r="219" spans="1:11" x14ac:dyDescent="0.25">
      <c r="A219" s="2" t="s">
        <v>20</v>
      </c>
      <c r="B219" s="8"/>
      <c r="C219" s="8"/>
      <c r="D219" s="8"/>
      <c r="E219" s="8"/>
      <c r="F219" s="8"/>
      <c r="G219" s="8"/>
      <c r="H219" s="8"/>
      <c r="I219" s="8"/>
      <c r="J219" s="8"/>
      <c r="K219" s="8">
        <f t="shared" si="83"/>
        <v>0</v>
      </c>
    </row>
    <row r="220" spans="1:11" x14ac:dyDescent="0.25">
      <c r="A220" s="2" t="s">
        <v>22</v>
      </c>
      <c r="B220" s="8"/>
      <c r="C220" s="8"/>
      <c r="D220" s="8"/>
      <c r="E220" s="8"/>
      <c r="F220" s="8"/>
      <c r="G220" s="8"/>
      <c r="H220" s="8"/>
      <c r="I220" s="8"/>
      <c r="J220" s="8"/>
      <c r="K220" s="8">
        <f t="shared" ref="K220" si="84">IF(K210&gt;0,K211/K210,0)</f>
        <v>0</v>
      </c>
    </row>
    <row r="221" spans="1:11" x14ac:dyDescent="0.25">
      <c r="A221" s="2" t="s">
        <v>21</v>
      </c>
      <c r="B221" s="8"/>
      <c r="C221" s="8"/>
      <c r="D221" s="8"/>
      <c r="E221" s="8"/>
      <c r="F221" s="8"/>
      <c r="G221" s="8"/>
      <c r="H221" s="8"/>
      <c r="I221" s="8"/>
      <c r="J221" s="8"/>
      <c r="K221" s="8">
        <f t="shared" ref="K221" si="85">IF(K212&gt;0,(K211-K212)/K212,0)</f>
        <v>0</v>
      </c>
    </row>
    <row r="222" spans="1:11" x14ac:dyDescent="0.25">
      <c r="A222" s="2" t="s">
        <v>23</v>
      </c>
      <c r="B222" s="8"/>
      <c r="C222" s="8"/>
      <c r="D222" s="8"/>
      <c r="E222" s="8"/>
      <c r="F222" s="8"/>
      <c r="G222" s="8"/>
      <c r="H222" s="8"/>
      <c r="I222" s="8"/>
      <c r="J222" s="8"/>
      <c r="K222" s="8">
        <f t="shared" ref="K222" si="86">K211-K212</f>
        <v>0</v>
      </c>
    </row>
    <row r="223" spans="1:11" x14ac:dyDescent="0.25">
      <c r="A223" s="9" t="str">
        <f>VLOOKUP(INT((ROW()-1)/17)+1,Справочник!A:D,3,0)</f>
        <v>Апрель неделя 2 (11-17 апр.)</v>
      </c>
      <c r="B223" s="9">
        <f t="shared" ref="B223" si="87">B$2</f>
        <v>0</v>
      </c>
      <c r="C223" s="9">
        <f t="shared" si="66"/>
        <v>0</v>
      </c>
      <c r="D223" s="9">
        <f t="shared" si="66"/>
        <v>0</v>
      </c>
      <c r="E223" s="9">
        <f t="shared" si="66"/>
        <v>0</v>
      </c>
      <c r="F223" s="9">
        <f t="shared" si="66"/>
        <v>0</v>
      </c>
      <c r="G223" s="9">
        <f t="shared" si="66"/>
        <v>0</v>
      </c>
      <c r="H223" s="9">
        <f t="shared" si="66"/>
        <v>0</v>
      </c>
      <c r="I223" s="9">
        <f t="shared" si="66"/>
        <v>0</v>
      </c>
      <c r="J223" s="9">
        <f t="shared" si="66"/>
        <v>0</v>
      </c>
      <c r="K223" s="9">
        <f>'Учет данных'!K225</f>
        <v>0</v>
      </c>
    </row>
    <row r="224" spans="1:11" x14ac:dyDescent="0.25">
      <c r="A224" s="1" t="s">
        <v>0</v>
      </c>
      <c r="B224" s="99"/>
      <c r="C224" s="99"/>
      <c r="D224" s="100"/>
      <c r="E224" s="101"/>
      <c r="F224" s="7"/>
      <c r="G224" s="7"/>
      <c r="H224" s="7"/>
      <c r="I224" s="7"/>
      <c r="J224" s="7"/>
      <c r="K224" s="7">
        <f t="shared" ref="K224" si="88">SUM(B224:J224)</f>
        <v>0</v>
      </c>
    </row>
    <row r="225" spans="1:11" x14ac:dyDescent="0.25">
      <c r="A225" s="1" t="s">
        <v>1</v>
      </c>
      <c r="B225" s="100"/>
      <c r="C225" s="100"/>
      <c r="D225" s="100"/>
      <c r="E225" s="101"/>
      <c r="F225" s="7"/>
      <c r="G225" s="7"/>
      <c r="H225" s="7"/>
      <c r="I225" s="7"/>
      <c r="J225" s="7"/>
      <c r="K225" s="7">
        <f t="shared" ref="K225:K280" si="89">SUM(B225:J225)</f>
        <v>0</v>
      </c>
    </row>
    <row r="226" spans="1:11" x14ac:dyDescent="0.25">
      <c r="A226" s="1" t="s">
        <v>2</v>
      </c>
      <c r="F226" s="7"/>
      <c r="G226" s="7"/>
      <c r="H226" s="7"/>
      <c r="I226" s="7"/>
      <c r="J226" s="7"/>
      <c r="K226" s="7">
        <f t="shared" si="89"/>
        <v>0</v>
      </c>
    </row>
    <row r="227" spans="1:11" x14ac:dyDescent="0.25">
      <c r="A227" s="1" t="s">
        <v>3</v>
      </c>
      <c r="B227" s="100"/>
      <c r="C227" s="100"/>
      <c r="D227" s="100"/>
      <c r="E227" s="101"/>
      <c r="F227" s="7"/>
      <c r="G227" s="7"/>
      <c r="H227" s="7"/>
      <c r="I227" s="7"/>
      <c r="J227" s="7"/>
      <c r="K227" s="7">
        <f t="shared" si="89"/>
        <v>0</v>
      </c>
    </row>
    <row r="228" spans="1:11" x14ac:dyDescent="0.25">
      <c r="A228" s="1" t="s">
        <v>4</v>
      </c>
      <c r="B228" s="102"/>
      <c r="C228" s="102"/>
      <c r="D228" s="103"/>
      <c r="E228" s="104"/>
      <c r="F228" s="7"/>
      <c r="G228" s="7"/>
      <c r="H228" s="7"/>
      <c r="I228" s="7"/>
      <c r="J228" s="7"/>
      <c r="K228" s="7">
        <f t="shared" si="89"/>
        <v>0</v>
      </c>
    </row>
    <row r="229" spans="1:11" ht="15.75" thickBot="1" x14ac:dyDescent="0.3">
      <c r="A229" s="1" t="s">
        <v>5</v>
      </c>
      <c r="B229" s="105"/>
      <c r="C229" s="105"/>
      <c r="D229" s="105"/>
      <c r="E229" s="106"/>
      <c r="F229" s="7"/>
      <c r="G229" s="7"/>
      <c r="H229" s="7"/>
      <c r="I229" s="7"/>
      <c r="J229" s="7"/>
      <c r="K229" s="7">
        <f>SUM(B229:J229)</f>
        <v>0</v>
      </c>
    </row>
    <row r="231" spans="1:11" x14ac:dyDescent="0.25">
      <c r="A231" s="2" t="s">
        <v>15</v>
      </c>
      <c r="B231" s="6"/>
      <c r="C231" s="6"/>
      <c r="D231" s="6"/>
      <c r="E231" s="6"/>
      <c r="F231" s="6"/>
      <c r="G231" s="6"/>
      <c r="H231" s="6"/>
      <c r="I231" s="6"/>
      <c r="J231" s="6"/>
      <c r="K231" s="6">
        <f t="shared" ref="K231:K233" si="90">IF(K224&gt;0,K225/K224,0)</f>
        <v>0</v>
      </c>
    </row>
    <row r="232" spans="1:11" x14ac:dyDescent="0.25">
      <c r="A232" s="2" t="s">
        <v>16</v>
      </c>
      <c r="B232" s="6"/>
      <c r="C232" s="6"/>
      <c r="D232" s="6"/>
      <c r="E232" s="6"/>
      <c r="F232" s="6"/>
      <c r="G232" s="6"/>
      <c r="H232" s="6"/>
      <c r="I232" s="6"/>
      <c r="J232" s="6"/>
      <c r="K232" s="6">
        <f t="shared" si="90"/>
        <v>0</v>
      </c>
    </row>
    <row r="233" spans="1:11" x14ac:dyDescent="0.25">
      <c r="A233" s="2" t="s">
        <v>17</v>
      </c>
      <c r="B233" s="6"/>
      <c r="C233" s="6"/>
      <c r="D233" s="6"/>
      <c r="E233" s="6"/>
      <c r="F233" s="6"/>
      <c r="G233" s="6"/>
      <c r="H233" s="6"/>
      <c r="I233" s="6"/>
      <c r="J233" s="6"/>
      <c r="K233" s="6">
        <f t="shared" si="90"/>
        <v>0</v>
      </c>
    </row>
    <row r="234" spans="1:11" x14ac:dyDescent="0.25">
      <c r="A234" s="2" t="s">
        <v>18</v>
      </c>
      <c r="B234" s="8"/>
      <c r="C234" s="8"/>
      <c r="D234" s="8"/>
      <c r="E234" s="8"/>
      <c r="F234" s="8"/>
      <c r="G234" s="8"/>
      <c r="H234" s="8"/>
      <c r="I234" s="8"/>
      <c r="J234" s="8"/>
      <c r="K234" s="8">
        <f t="shared" ref="K234:K236" si="91">IF(K224&gt;0,K$8/K224,0)</f>
        <v>0</v>
      </c>
    </row>
    <row r="235" spans="1:11" x14ac:dyDescent="0.25">
      <c r="A235" s="2" t="s">
        <v>19</v>
      </c>
      <c r="B235" s="8"/>
      <c r="C235" s="8"/>
      <c r="D235" s="8"/>
      <c r="E235" s="8"/>
      <c r="F235" s="8"/>
      <c r="G235" s="8"/>
      <c r="H235" s="8"/>
      <c r="I235" s="8"/>
      <c r="J235" s="8"/>
      <c r="K235" s="8">
        <f t="shared" si="91"/>
        <v>0</v>
      </c>
    </row>
    <row r="236" spans="1:11" x14ac:dyDescent="0.25">
      <c r="A236" s="2" t="s">
        <v>20</v>
      </c>
      <c r="B236" s="8"/>
      <c r="C236" s="8"/>
      <c r="D236" s="8"/>
      <c r="E236" s="8"/>
      <c r="F236" s="8"/>
      <c r="G236" s="8"/>
      <c r="H236" s="8"/>
      <c r="I236" s="8"/>
      <c r="J236" s="8"/>
      <c r="K236" s="8">
        <f t="shared" si="91"/>
        <v>0</v>
      </c>
    </row>
    <row r="237" spans="1:11" x14ac:dyDescent="0.25">
      <c r="A237" s="2" t="s">
        <v>22</v>
      </c>
      <c r="B237" s="8"/>
      <c r="C237" s="8"/>
      <c r="D237" s="8"/>
      <c r="E237" s="8"/>
      <c r="F237" s="8"/>
      <c r="G237" s="8"/>
      <c r="H237" s="8"/>
      <c r="I237" s="8"/>
      <c r="J237" s="8"/>
      <c r="K237" s="8">
        <f t="shared" ref="K237" si="92">IF(K227&gt;0,K228/K227,0)</f>
        <v>0</v>
      </c>
    </row>
    <row r="238" spans="1:11" x14ac:dyDescent="0.25">
      <c r="A238" s="2" t="s">
        <v>21</v>
      </c>
      <c r="B238" s="8"/>
      <c r="C238" s="8"/>
      <c r="D238" s="8"/>
      <c r="E238" s="8"/>
      <c r="F238" s="8"/>
      <c r="G238" s="8"/>
      <c r="H238" s="8"/>
      <c r="I238" s="8"/>
      <c r="J238" s="8"/>
      <c r="K238" s="8">
        <f t="shared" ref="K238" si="93">IF(K229&gt;0,(K228-K229)/K229,0)</f>
        <v>0</v>
      </c>
    </row>
    <row r="239" spans="1:11" x14ac:dyDescent="0.25">
      <c r="A239" s="2" t="s">
        <v>23</v>
      </c>
      <c r="B239" s="8"/>
      <c r="C239" s="8"/>
      <c r="D239" s="8"/>
      <c r="E239" s="8"/>
      <c r="F239" s="8"/>
      <c r="G239" s="8"/>
      <c r="H239" s="8"/>
      <c r="I239" s="8"/>
      <c r="J239" s="8"/>
      <c r="K239" s="8">
        <f t="shared" ref="K239" si="94">K228-K229</f>
        <v>0</v>
      </c>
    </row>
    <row r="240" spans="1:11" x14ac:dyDescent="0.25">
      <c r="A240" s="9" t="str">
        <f>VLOOKUP(INT((ROW()-1)/17)+1,Справочник!A:D,3,0)</f>
        <v>Апрель неделя 3 (18-24 апр.)</v>
      </c>
      <c r="B240" s="9">
        <f t="shared" ref="B240:J291" si="95">B$2</f>
        <v>0</v>
      </c>
      <c r="C240" s="9">
        <f t="shared" si="95"/>
        <v>0</v>
      </c>
      <c r="D240" s="9">
        <f t="shared" si="95"/>
        <v>0</v>
      </c>
      <c r="E240" s="9">
        <f t="shared" si="95"/>
        <v>0</v>
      </c>
      <c r="F240" s="9">
        <f t="shared" si="95"/>
        <v>0</v>
      </c>
      <c r="G240" s="9">
        <f t="shared" si="95"/>
        <v>0</v>
      </c>
      <c r="H240" s="9">
        <f t="shared" si="95"/>
        <v>0</v>
      </c>
      <c r="I240" s="9">
        <f t="shared" si="95"/>
        <v>0</v>
      </c>
      <c r="J240" s="9">
        <f t="shared" si="95"/>
        <v>0</v>
      </c>
      <c r="K240" s="9">
        <f>'Учет данных'!K242</f>
        <v>0</v>
      </c>
    </row>
    <row r="241" spans="1:11" x14ac:dyDescent="0.25">
      <c r="A241" s="1" t="s">
        <v>0</v>
      </c>
      <c r="B241" s="99"/>
      <c r="C241" s="99"/>
      <c r="D241" s="100"/>
      <c r="E241" s="101"/>
      <c r="F241" s="7"/>
      <c r="G241" s="7"/>
      <c r="H241" s="7"/>
      <c r="I241" s="7"/>
      <c r="J241" s="7"/>
      <c r="K241" s="7">
        <f>SUM(B241:J241)</f>
        <v>0</v>
      </c>
    </row>
    <row r="242" spans="1:11" x14ac:dyDescent="0.25">
      <c r="A242" s="1" t="s">
        <v>1</v>
      </c>
      <c r="B242" s="100"/>
      <c r="C242" s="100"/>
      <c r="D242" s="100"/>
      <c r="E242" s="101"/>
      <c r="F242" s="7"/>
      <c r="G242" s="7"/>
      <c r="H242" s="7"/>
      <c r="I242" s="7"/>
      <c r="J242" s="7"/>
      <c r="K242" s="7">
        <f t="shared" si="89"/>
        <v>0</v>
      </c>
    </row>
    <row r="243" spans="1:11" x14ac:dyDescent="0.25">
      <c r="A243" s="1" t="s">
        <v>2</v>
      </c>
      <c r="F243" s="7"/>
      <c r="G243" s="7"/>
      <c r="H243" s="7"/>
      <c r="I243" s="7"/>
      <c r="J243" s="7"/>
      <c r="K243" s="7">
        <f t="shared" si="89"/>
        <v>0</v>
      </c>
    </row>
    <row r="244" spans="1:11" x14ac:dyDescent="0.25">
      <c r="A244" s="1" t="s">
        <v>3</v>
      </c>
      <c r="B244" s="100"/>
      <c r="C244" s="100"/>
      <c r="D244" s="100"/>
      <c r="E244" s="101"/>
      <c r="F244" s="7"/>
      <c r="G244" s="7"/>
      <c r="H244" s="7"/>
      <c r="I244" s="7"/>
      <c r="J244" s="7"/>
      <c r="K244" s="7">
        <f t="shared" si="89"/>
        <v>0</v>
      </c>
    </row>
    <row r="245" spans="1:11" x14ac:dyDescent="0.25">
      <c r="A245" s="1" t="s">
        <v>4</v>
      </c>
      <c r="B245" s="102"/>
      <c r="C245" s="102"/>
      <c r="D245" s="103"/>
      <c r="E245" s="104"/>
      <c r="F245" s="7"/>
      <c r="G245" s="7"/>
      <c r="H245" s="7"/>
      <c r="I245" s="7"/>
      <c r="J245" s="7"/>
      <c r="K245" s="7">
        <f t="shared" si="89"/>
        <v>0</v>
      </c>
    </row>
    <row r="246" spans="1:11" ht="15.75" thickBot="1" x14ac:dyDescent="0.3">
      <c r="A246" s="1" t="s">
        <v>5</v>
      </c>
      <c r="B246" s="105"/>
      <c r="C246" s="105"/>
      <c r="D246" s="105"/>
      <c r="E246" s="106"/>
      <c r="F246" s="7"/>
      <c r="G246" s="7"/>
      <c r="H246" s="7"/>
      <c r="I246" s="7"/>
      <c r="J246" s="7"/>
      <c r="K246" s="7">
        <f>SUM(B246:J246)</f>
        <v>0</v>
      </c>
    </row>
    <row r="248" spans="1:11" x14ac:dyDescent="0.25">
      <c r="A248" s="2" t="s">
        <v>15</v>
      </c>
      <c r="B248" s="6"/>
      <c r="C248" s="6"/>
      <c r="D248" s="6"/>
      <c r="E248" s="6"/>
      <c r="F248" s="6"/>
      <c r="G248" s="6"/>
      <c r="H248" s="6"/>
      <c r="I248" s="6"/>
      <c r="J248" s="6"/>
      <c r="K248" s="6">
        <f t="shared" ref="K248:K250" si="96">IF(K241&gt;0,K242/K241,0)</f>
        <v>0</v>
      </c>
    </row>
    <row r="249" spans="1:11" x14ac:dyDescent="0.25">
      <c r="A249" s="2" t="s">
        <v>16</v>
      </c>
      <c r="B249" s="6"/>
      <c r="C249" s="6"/>
      <c r="D249" s="6"/>
      <c r="E249" s="6"/>
      <c r="F249" s="6"/>
      <c r="G249" s="6"/>
      <c r="H249" s="6"/>
      <c r="I249" s="6"/>
      <c r="J249" s="6"/>
      <c r="K249" s="6">
        <f t="shared" si="96"/>
        <v>0</v>
      </c>
    </row>
    <row r="250" spans="1:11" x14ac:dyDescent="0.25">
      <c r="A250" s="2" t="s">
        <v>17</v>
      </c>
      <c r="B250" s="6"/>
      <c r="C250" s="6"/>
      <c r="D250" s="6"/>
      <c r="E250" s="6"/>
      <c r="F250" s="6"/>
      <c r="G250" s="6"/>
      <c r="H250" s="6"/>
      <c r="I250" s="6"/>
      <c r="J250" s="6"/>
      <c r="K250" s="6">
        <f t="shared" si="96"/>
        <v>0</v>
      </c>
    </row>
    <row r="251" spans="1:11" x14ac:dyDescent="0.25">
      <c r="A251" s="2" t="s">
        <v>18</v>
      </c>
      <c r="B251" s="8"/>
      <c r="C251" s="8"/>
      <c r="D251" s="8"/>
      <c r="E251" s="8"/>
      <c r="F251" s="8"/>
      <c r="G251" s="8"/>
      <c r="H251" s="8"/>
      <c r="I251" s="8"/>
      <c r="J251" s="8"/>
      <c r="K251" s="8">
        <f t="shared" ref="K251:K253" si="97">IF(K241&gt;0,K$8/K241,0)</f>
        <v>0</v>
      </c>
    </row>
    <row r="252" spans="1:11" x14ac:dyDescent="0.25">
      <c r="A252" s="2" t="s">
        <v>19</v>
      </c>
      <c r="B252" s="8"/>
      <c r="C252" s="8"/>
      <c r="D252" s="8"/>
      <c r="E252" s="8"/>
      <c r="F252" s="8"/>
      <c r="G252" s="8"/>
      <c r="H252" s="8"/>
      <c r="I252" s="8"/>
      <c r="J252" s="8"/>
      <c r="K252" s="8">
        <f t="shared" si="97"/>
        <v>0</v>
      </c>
    </row>
    <row r="253" spans="1:11" x14ac:dyDescent="0.25">
      <c r="A253" s="2" t="s">
        <v>20</v>
      </c>
      <c r="B253" s="8"/>
      <c r="C253" s="8"/>
      <c r="D253" s="8"/>
      <c r="E253" s="8"/>
      <c r="F253" s="8"/>
      <c r="G253" s="8"/>
      <c r="H253" s="8"/>
      <c r="I253" s="8"/>
      <c r="J253" s="8"/>
      <c r="K253" s="8">
        <f t="shared" si="97"/>
        <v>0</v>
      </c>
    </row>
    <row r="254" spans="1:11" x14ac:dyDescent="0.25">
      <c r="A254" s="2" t="s">
        <v>22</v>
      </c>
      <c r="B254" s="8"/>
      <c r="C254" s="8"/>
      <c r="D254" s="8"/>
      <c r="E254" s="8"/>
      <c r="F254" s="8"/>
      <c r="G254" s="8"/>
      <c r="H254" s="8"/>
      <c r="I254" s="8"/>
      <c r="J254" s="8"/>
      <c r="K254" s="8">
        <f t="shared" ref="K254" si="98">IF(K244&gt;0,K245/K244,0)</f>
        <v>0</v>
      </c>
    </row>
    <row r="255" spans="1:11" x14ac:dyDescent="0.25">
      <c r="A255" s="2" t="s">
        <v>21</v>
      </c>
      <c r="B255" s="8"/>
      <c r="C255" s="8"/>
      <c r="D255" s="8"/>
      <c r="E255" s="8"/>
      <c r="F255" s="8"/>
      <c r="G255" s="8"/>
      <c r="H255" s="8"/>
      <c r="I255" s="8"/>
      <c r="J255" s="8"/>
      <c r="K255" s="8">
        <f t="shared" ref="K255" si="99">IF(K246&gt;0,(K245-K246)/K246,0)</f>
        <v>0</v>
      </c>
    </row>
    <row r="256" spans="1:11" x14ac:dyDescent="0.25">
      <c r="A256" s="2" t="s">
        <v>23</v>
      </c>
      <c r="B256" s="8"/>
      <c r="C256" s="8"/>
      <c r="D256" s="8"/>
      <c r="E256" s="8"/>
      <c r="F256" s="8"/>
      <c r="G256" s="8"/>
      <c r="H256" s="8"/>
      <c r="I256" s="8"/>
      <c r="J256" s="8"/>
      <c r="K256" s="8">
        <f t="shared" ref="K256" si="100">K245-K246</f>
        <v>0</v>
      </c>
    </row>
    <row r="257" spans="1:11" x14ac:dyDescent="0.25">
      <c r="A257" s="9" t="str">
        <f>VLOOKUP(INT((ROW()-1)/17)+1,Справочник!A:D,3,0)</f>
        <v>Апрель неделя 4 (25-30 апр.)</v>
      </c>
      <c r="B257" s="9">
        <f t="shared" ref="B257" si="101">B$2</f>
        <v>0</v>
      </c>
      <c r="C257" s="9">
        <f t="shared" si="95"/>
        <v>0</v>
      </c>
      <c r="D257" s="9">
        <f t="shared" si="95"/>
        <v>0</v>
      </c>
      <c r="E257" s="9">
        <f t="shared" si="95"/>
        <v>0</v>
      </c>
      <c r="F257" s="9">
        <f t="shared" si="95"/>
        <v>0</v>
      </c>
      <c r="G257" s="9">
        <f t="shared" si="95"/>
        <v>0</v>
      </c>
      <c r="H257" s="9">
        <f t="shared" si="95"/>
        <v>0</v>
      </c>
      <c r="I257" s="9">
        <f t="shared" si="95"/>
        <v>0</v>
      </c>
      <c r="J257" s="9">
        <f t="shared" si="95"/>
        <v>0</v>
      </c>
      <c r="K257" s="9">
        <f>'Учет данных'!K259</f>
        <v>0</v>
      </c>
    </row>
    <row r="258" spans="1:11" x14ac:dyDescent="0.25">
      <c r="A258" s="1" t="s">
        <v>0</v>
      </c>
      <c r="B258" s="7"/>
      <c r="C258" s="7"/>
      <c r="D258" s="7"/>
      <c r="E258" s="7"/>
      <c r="F258" s="7"/>
      <c r="G258" s="7"/>
      <c r="H258" s="7"/>
      <c r="I258" s="7"/>
      <c r="J258" s="7"/>
      <c r="K258" s="7">
        <f t="shared" ref="K258" si="102">SUM(B258:J258)</f>
        <v>0</v>
      </c>
    </row>
    <row r="259" spans="1:11" x14ac:dyDescent="0.25">
      <c r="A259" s="1" t="s">
        <v>1</v>
      </c>
      <c r="B259" s="7"/>
      <c r="C259" s="7"/>
      <c r="D259" s="7"/>
      <c r="E259" s="7"/>
      <c r="F259" s="7"/>
      <c r="G259" s="7"/>
      <c r="H259" s="7"/>
      <c r="I259" s="7"/>
      <c r="J259" s="7"/>
      <c r="K259" s="7">
        <f t="shared" si="89"/>
        <v>0</v>
      </c>
    </row>
    <row r="260" spans="1:11" x14ac:dyDescent="0.25">
      <c r="A260" s="1" t="s">
        <v>2</v>
      </c>
      <c r="B260" s="7"/>
      <c r="C260" s="7"/>
      <c r="D260" s="7"/>
      <c r="E260" s="7"/>
      <c r="F260" s="7"/>
      <c r="G260" s="7"/>
      <c r="H260" s="7"/>
      <c r="I260" s="7"/>
      <c r="J260" s="7"/>
      <c r="K260" s="7">
        <f t="shared" si="89"/>
        <v>0</v>
      </c>
    </row>
    <row r="261" spans="1:11" x14ac:dyDescent="0.25">
      <c r="A261" s="1" t="s">
        <v>3</v>
      </c>
      <c r="B261" s="7"/>
      <c r="C261" s="7"/>
      <c r="D261" s="7"/>
      <c r="E261" s="7"/>
      <c r="F261" s="7"/>
      <c r="G261" s="7"/>
      <c r="H261" s="7"/>
      <c r="I261" s="7"/>
      <c r="J261" s="7"/>
      <c r="K261" s="7">
        <f t="shared" si="89"/>
        <v>0</v>
      </c>
    </row>
    <row r="262" spans="1:11" x14ac:dyDescent="0.25">
      <c r="A262" s="1" t="s">
        <v>4</v>
      </c>
      <c r="B262" s="7"/>
      <c r="C262" s="7"/>
      <c r="D262" s="7"/>
      <c r="E262" s="7"/>
      <c r="F262" s="7"/>
      <c r="G262" s="7"/>
      <c r="H262" s="7"/>
      <c r="I262" s="7"/>
      <c r="J262" s="7"/>
      <c r="K262" s="7">
        <f t="shared" si="89"/>
        <v>0</v>
      </c>
    </row>
    <row r="263" spans="1:11" x14ac:dyDescent="0.25">
      <c r="A263" s="1" t="s">
        <v>5</v>
      </c>
      <c r="B263" s="7"/>
      <c r="C263" s="7"/>
      <c r="D263" s="7"/>
      <c r="E263" s="7"/>
      <c r="F263" s="7"/>
      <c r="G263" s="7"/>
      <c r="H263" s="7"/>
      <c r="I263" s="7"/>
      <c r="J263" s="7"/>
      <c r="K263" s="7">
        <f t="shared" si="89"/>
        <v>0</v>
      </c>
    </row>
    <row r="265" spans="1:11" x14ac:dyDescent="0.25">
      <c r="A265" s="2" t="s">
        <v>15</v>
      </c>
      <c r="B265" s="6"/>
      <c r="C265" s="6"/>
      <c r="D265" s="6"/>
      <c r="E265" s="6"/>
      <c r="F265" s="6"/>
      <c r="G265" s="6"/>
      <c r="H265" s="6"/>
      <c r="I265" s="6"/>
      <c r="J265" s="6"/>
      <c r="K265" s="6">
        <f t="shared" ref="K265:K267" si="103">IF(K258&gt;0,K259/K258,0)</f>
        <v>0</v>
      </c>
    </row>
    <row r="266" spans="1:11" x14ac:dyDescent="0.25">
      <c r="A266" s="2" t="s">
        <v>16</v>
      </c>
      <c r="B266" s="6"/>
      <c r="C266" s="6"/>
      <c r="D266" s="6"/>
      <c r="E266" s="6"/>
      <c r="F266" s="6"/>
      <c r="G266" s="6"/>
      <c r="H266" s="6"/>
      <c r="I266" s="6"/>
      <c r="J266" s="6"/>
      <c r="K266" s="6">
        <f t="shared" si="103"/>
        <v>0</v>
      </c>
    </row>
    <row r="267" spans="1:11" x14ac:dyDescent="0.25">
      <c r="A267" s="2" t="s">
        <v>17</v>
      </c>
      <c r="B267" s="6"/>
      <c r="C267" s="6"/>
      <c r="D267" s="6"/>
      <c r="E267" s="6"/>
      <c r="F267" s="6"/>
      <c r="G267" s="6"/>
      <c r="H267" s="6"/>
      <c r="I267" s="6"/>
      <c r="J267" s="6"/>
      <c r="K267" s="6">
        <f t="shared" si="103"/>
        <v>0</v>
      </c>
    </row>
    <row r="268" spans="1:11" x14ac:dyDescent="0.25">
      <c r="A268" s="2" t="s">
        <v>18</v>
      </c>
      <c r="B268" s="8"/>
      <c r="C268" s="8"/>
      <c r="D268" s="8"/>
      <c r="E268" s="8"/>
      <c r="F268" s="8"/>
      <c r="G268" s="8"/>
      <c r="H268" s="8"/>
      <c r="I268" s="8"/>
      <c r="J268" s="8"/>
      <c r="K268" s="8">
        <f t="shared" ref="K268:K270" si="104">IF(K258&gt;0,K$8/K258,0)</f>
        <v>0</v>
      </c>
    </row>
    <row r="269" spans="1:11" x14ac:dyDescent="0.25">
      <c r="A269" s="2" t="s">
        <v>19</v>
      </c>
      <c r="B269" s="8"/>
      <c r="C269" s="8"/>
      <c r="D269" s="8"/>
      <c r="E269" s="8"/>
      <c r="F269" s="8"/>
      <c r="G269" s="8"/>
      <c r="H269" s="8"/>
      <c r="I269" s="8"/>
      <c r="J269" s="8"/>
      <c r="K269" s="8">
        <f t="shared" si="104"/>
        <v>0</v>
      </c>
    </row>
    <row r="270" spans="1:11" x14ac:dyDescent="0.25">
      <c r="A270" s="2" t="s">
        <v>20</v>
      </c>
      <c r="B270" s="8"/>
      <c r="C270" s="8"/>
      <c r="D270" s="8"/>
      <c r="E270" s="8"/>
      <c r="F270" s="8"/>
      <c r="G270" s="8"/>
      <c r="H270" s="8"/>
      <c r="I270" s="8"/>
      <c r="J270" s="8"/>
      <c r="K270" s="8">
        <f t="shared" si="104"/>
        <v>0</v>
      </c>
    </row>
    <row r="271" spans="1:11" x14ac:dyDescent="0.25">
      <c r="A271" s="2" t="s">
        <v>22</v>
      </c>
      <c r="B271" s="8"/>
      <c r="C271" s="8"/>
      <c r="D271" s="8"/>
      <c r="E271" s="8"/>
      <c r="F271" s="8"/>
      <c r="G271" s="8"/>
      <c r="H271" s="8"/>
      <c r="I271" s="8"/>
      <c r="J271" s="8"/>
      <c r="K271" s="8">
        <f t="shared" ref="K271" si="105">IF(K261&gt;0,K262/K261,0)</f>
        <v>0</v>
      </c>
    </row>
    <row r="272" spans="1:11" x14ac:dyDescent="0.25">
      <c r="A272" s="2" t="s">
        <v>21</v>
      </c>
      <c r="B272" s="8"/>
      <c r="C272" s="8"/>
      <c r="D272" s="8"/>
      <c r="E272" s="8"/>
      <c r="F272" s="8"/>
      <c r="G272" s="8"/>
      <c r="H272" s="8"/>
      <c r="I272" s="8"/>
      <c r="J272" s="8"/>
      <c r="K272" s="8">
        <f t="shared" ref="K272" si="106">IF(K263&gt;0,(K262-K263)/K263,0)</f>
        <v>0</v>
      </c>
    </row>
    <row r="273" spans="1:11" x14ac:dyDescent="0.25">
      <c r="A273" s="2" t="s">
        <v>23</v>
      </c>
      <c r="B273" s="8"/>
      <c r="C273" s="8"/>
      <c r="D273" s="8"/>
      <c r="E273" s="8"/>
      <c r="F273" s="8"/>
      <c r="G273" s="8"/>
      <c r="H273" s="8"/>
      <c r="I273" s="8"/>
      <c r="J273" s="8"/>
      <c r="K273" s="8">
        <f t="shared" ref="K273" si="107">K262-K263</f>
        <v>0</v>
      </c>
    </row>
    <row r="274" spans="1:11" x14ac:dyDescent="0.25">
      <c r="A274" s="9" t="str">
        <f>VLOOKUP(INT((ROW()-1)/17)+1,Справочник!A:D,3,0)</f>
        <v>Май неделя 1 (01-08 мая)</v>
      </c>
      <c r="B274" s="9">
        <f t="shared" ref="B274" si="108">B$2</f>
        <v>0</v>
      </c>
      <c r="C274" s="9">
        <f t="shared" si="95"/>
        <v>0</v>
      </c>
      <c r="D274" s="9">
        <f t="shared" si="95"/>
        <v>0</v>
      </c>
      <c r="E274" s="9">
        <f t="shared" si="95"/>
        <v>0</v>
      </c>
      <c r="F274" s="9">
        <f t="shared" si="95"/>
        <v>0</v>
      </c>
      <c r="G274" s="9">
        <f t="shared" si="95"/>
        <v>0</v>
      </c>
      <c r="H274" s="9">
        <f t="shared" si="95"/>
        <v>0</v>
      </c>
      <c r="I274" s="9">
        <f t="shared" si="95"/>
        <v>0</v>
      </c>
      <c r="J274" s="9">
        <f t="shared" si="95"/>
        <v>0</v>
      </c>
      <c r="K274" s="9">
        <f>'Учет данных'!K276</f>
        <v>0</v>
      </c>
    </row>
    <row r="275" spans="1:11" x14ac:dyDescent="0.25">
      <c r="A275" s="1" t="s">
        <v>0</v>
      </c>
      <c r="B275" s="7"/>
      <c r="C275" s="7"/>
      <c r="D275" s="7"/>
      <c r="E275" s="7"/>
      <c r="F275" s="7"/>
      <c r="G275" s="7"/>
      <c r="H275" s="7"/>
      <c r="I275" s="7"/>
      <c r="J275" s="7"/>
      <c r="K275" s="7">
        <f t="shared" ref="K275" si="109">SUM(B275:J275)</f>
        <v>0</v>
      </c>
    </row>
    <row r="276" spans="1:11" x14ac:dyDescent="0.25">
      <c r="A276" s="1" t="s">
        <v>1</v>
      </c>
      <c r="B276" s="7"/>
      <c r="C276" s="7"/>
      <c r="D276" s="7"/>
      <c r="E276" s="7"/>
      <c r="F276" s="7"/>
      <c r="G276" s="7"/>
      <c r="H276" s="7"/>
      <c r="I276" s="7"/>
      <c r="J276" s="7"/>
      <c r="K276" s="7">
        <f t="shared" si="89"/>
        <v>0</v>
      </c>
    </row>
    <row r="277" spans="1:11" x14ac:dyDescent="0.25">
      <c r="A277" s="1" t="s">
        <v>2</v>
      </c>
      <c r="B277" s="7"/>
      <c r="C277" s="7"/>
      <c r="D277" s="7"/>
      <c r="E277" s="7"/>
      <c r="F277" s="7"/>
      <c r="G277" s="7"/>
      <c r="H277" s="7"/>
      <c r="I277" s="7"/>
      <c r="J277" s="7"/>
      <c r="K277" s="7">
        <f t="shared" si="89"/>
        <v>0</v>
      </c>
    </row>
    <row r="278" spans="1:11" x14ac:dyDescent="0.25">
      <c r="A278" s="1" t="s">
        <v>3</v>
      </c>
      <c r="B278" s="7"/>
      <c r="C278" s="7"/>
      <c r="D278" s="7"/>
      <c r="E278" s="7"/>
      <c r="F278" s="7"/>
      <c r="G278" s="7"/>
      <c r="H278" s="7"/>
      <c r="I278" s="7"/>
      <c r="J278" s="7"/>
      <c r="K278" s="7">
        <f t="shared" si="89"/>
        <v>0</v>
      </c>
    </row>
    <row r="279" spans="1:11" x14ac:dyDescent="0.25">
      <c r="A279" s="1" t="s">
        <v>4</v>
      </c>
      <c r="B279" s="7"/>
      <c r="C279" s="7"/>
      <c r="D279" s="7"/>
      <c r="E279" s="7"/>
      <c r="F279" s="7"/>
      <c r="G279" s="7"/>
      <c r="H279" s="7"/>
      <c r="I279" s="7"/>
      <c r="J279" s="7"/>
      <c r="K279" s="7">
        <f t="shared" si="89"/>
        <v>0</v>
      </c>
    </row>
    <row r="280" spans="1:11" x14ac:dyDescent="0.25">
      <c r="A280" s="1" t="s">
        <v>5</v>
      </c>
      <c r="B280" s="7"/>
      <c r="C280" s="7"/>
      <c r="D280" s="7"/>
      <c r="E280" s="7"/>
      <c r="F280" s="7"/>
      <c r="G280" s="7"/>
      <c r="H280" s="7"/>
      <c r="I280" s="7"/>
      <c r="J280" s="7"/>
      <c r="K280" s="7">
        <f t="shared" si="89"/>
        <v>0</v>
      </c>
    </row>
    <row r="282" spans="1:11" x14ac:dyDescent="0.25">
      <c r="A282" s="2" t="s">
        <v>15</v>
      </c>
      <c r="B282" s="6"/>
      <c r="C282" s="6"/>
      <c r="D282" s="6"/>
      <c r="E282" s="6"/>
      <c r="F282" s="6"/>
      <c r="G282" s="6"/>
      <c r="H282" s="6"/>
      <c r="I282" s="6"/>
      <c r="J282" s="6"/>
      <c r="K282" s="6">
        <f t="shared" ref="K282:K284" si="110">IF(K275&gt;0,K276/K275,0)</f>
        <v>0</v>
      </c>
    </row>
    <row r="283" spans="1:11" x14ac:dyDescent="0.25">
      <c r="A283" s="2" t="s">
        <v>16</v>
      </c>
      <c r="B283" s="6"/>
      <c r="C283" s="6"/>
      <c r="D283" s="6"/>
      <c r="E283" s="6"/>
      <c r="F283" s="6"/>
      <c r="G283" s="6"/>
      <c r="H283" s="6"/>
      <c r="I283" s="6"/>
      <c r="J283" s="6"/>
      <c r="K283" s="6">
        <f t="shared" si="110"/>
        <v>0</v>
      </c>
    </row>
    <row r="284" spans="1:11" x14ac:dyDescent="0.25">
      <c r="A284" s="2" t="s">
        <v>17</v>
      </c>
      <c r="B284" s="6"/>
      <c r="C284" s="6"/>
      <c r="D284" s="6"/>
      <c r="E284" s="6"/>
      <c r="F284" s="6"/>
      <c r="G284" s="6"/>
      <c r="H284" s="6"/>
      <c r="I284" s="6"/>
      <c r="J284" s="6"/>
      <c r="K284" s="6">
        <f t="shared" si="110"/>
        <v>0</v>
      </c>
    </row>
    <row r="285" spans="1:11" x14ac:dyDescent="0.25">
      <c r="A285" s="2" t="s">
        <v>18</v>
      </c>
      <c r="B285" s="8"/>
      <c r="C285" s="8"/>
      <c r="D285" s="8"/>
      <c r="E285" s="8"/>
      <c r="F285" s="8"/>
      <c r="G285" s="8"/>
      <c r="H285" s="8"/>
      <c r="I285" s="8"/>
      <c r="J285" s="8"/>
      <c r="K285" s="8">
        <f t="shared" ref="K285:K287" si="111">IF(K275&gt;0,K$8/K275,0)</f>
        <v>0</v>
      </c>
    </row>
    <row r="286" spans="1:11" x14ac:dyDescent="0.25">
      <c r="A286" s="2" t="s">
        <v>19</v>
      </c>
      <c r="B286" s="8"/>
      <c r="C286" s="8"/>
      <c r="D286" s="8"/>
      <c r="E286" s="8"/>
      <c r="F286" s="8"/>
      <c r="G286" s="8"/>
      <c r="H286" s="8"/>
      <c r="I286" s="8"/>
      <c r="J286" s="8"/>
      <c r="K286" s="8">
        <f t="shared" si="111"/>
        <v>0</v>
      </c>
    </row>
    <row r="287" spans="1:11" x14ac:dyDescent="0.25">
      <c r="A287" s="2" t="s">
        <v>20</v>
      </c>
      <c r="B287" s="8"/>
      <c r="C287" s="8"/>
      <c r="D287" s="8"/>
      <c r="E287" s="8"/>
      <c r="F287" s="8"/>
      <c r="G287" s="8"/>
      <c r="H287" s="8"/>
      <c r="I287" s="8"/>
      <c r="J287" s="8"/>
      <c r="K287" s="8">
        <f t="shared" si="111"/>
        <v>0</v>
      </c>
    </row>
    <row r="288" spans="1:11" x14ac:dyDescent="0.25">
      <c r="A288" s="2" t="s">
        <v>22</v>
      </c>
      <c r="B288" s="8"/>
      <c r="C288" s="8"/>
      <c r="D288" s="8"/>
      <c r="E288" s="8"/>
      <c r="F288" s="8"/>
      <c r="G288" s="8"/>
      <c r="H288" s="8"/>
      <c r="I288" s="8"/>
      <c r="J288" s="8"/>
      <c r="K288" s="8">
        <f t="shared" ref="K288" si="112">IF(K278&gt;0,K279/K278,0)</f>
        <v>0</v>
      </c>
    </row>
    <row r="289" spans="1:11" x14ac:dyDescent="0.25">
      <c r="A289" s="2" t="s">
        <v>21</v>
      </c>
      <c r="B289" s="8"/>
      <c r="C289" s="8"/>
      <c r="D289" s="8"/>
      <c r="E289" s="8"/>
      <c r="F289" s="8"/>
      <c r="G289" s="8"/>
      <c r="H289" s="8"/>
      <c r="I289" s="8"/>
      <c r="J289" s="8"/>
      <c r="K289" s="8">
        <f t="shared" ref="K289" si="113">IF(K280&gt;0,(K279-K280)/K280,0)</f>
        <v>0</v>
      </c>
    </row>
    <row r="290" spans="1:11" x14ac:dyDescent="0.25">
      <c r="A290" s="2" t="s">
        <v>23</v>
      </c>
      <c r="B290" s="8"/>
      <c r="C290" s="8"/>
      <c r="D290" s="8"/>
      <c r="E290" s="8"/>
      <c r="F290" s="8"/>
      <c r="G290" s="8"/>
      <c r="H290" s="8"/>
      <c r="I290" s="8"/>
      <c r="J290" s="8"/>
      <c r="K290" s="8">
        <f t="shared" ref="K290" si="114">K279-K280</f>
        <v>0</v>
      </c>
    </row>
    <row r="291" spans="1:11" x14ac:dyDescent="0.25">
      <c r="A291" s="9" t="str">
        <f>VLOOKUP(INT((ROW()-1)/17)+1,Справочник!A:D,3,0)</f>
        <v>Май неделя 2 (09-15 мая)</v>
      </c>
      <c r="B291" s="9">
        <f t="shared" ref="B291" si="115">B$2</f>
        <v>0</v>
      </c>
      <c r="C291" s="9">
        <f t="shared" si="95"/>
        <v>0</v>
      </c>
      <c r="D291" s="9">
        <f t="shared" si="95"/>
        <v>0</v>
      </c>
      <c r="E291" s="9">
        <f t="shared" si="95"/>
        <v>0</v>
      </c>
      <c r="F291" s="9">
        <f t="shared" si="95"/>
        <v>0</v>
      </c>
      <c r="G291" s="9">
        <f t="shared" si="95"/>
        <v>0</v>
      </c>
      <c r="H291" s="9">
        <f t="shared" si="95"/>
        <v>0</v>
      </c>
      <c r="I291" s="9">
        <f t="shared" si="95"/>
        <v>0</v>
      </c>
      <c r="J291" s="9">
        <f t="shared" si="95"/>
        <v>0</v>
      </c>
      <c r="K291" s="9">
        <f>'Учет данных'!K293</f>
        <v>0</v>
      </c>
    </row>
    <row r="292" spans="1:11" x14ac:dyDescent="0.25">
      <c r="A292" s="1" t="s">
        <v>0</v>
      </c>
      <c r="B292" s="7"/>
      <c r="C292" s="7"/>
      <c r="D292" s="7"/>
      <c r="E292" s="7"/>
      <c r="F292" s="7"/>
      <c r="G292" s="7"/>
      <c r="H292" s="7"/>
      <c r="I292" s="7"/>
      <c r="J292" s="7"/>
      <c r="K292" s="7">
        <f t="shared" ref="K292" si="116">SUM(B292:J292)</f>
        <v>0</v>
      </c>
    </row>
    <row r="293" spans="1:11" x14ac:dyDescent="0.25">
      <c r="A293" s="1" t="s">
        <v>1</v>
      </c>
      <c r="B293" s="7"/>
      <c r="C293" s="7"/>
      <c r="D293" s="7"/>
      <c r="E293" s="7"/>
      <c r="F293" s="7"/>
      <c r="G293" s="7"/>
      <c r="H293" s="7"/>
      <c r="I293" s="7"/>
      <c r="J293" s="7"/>
      <c r="K293" s="7">
        <f t="shared" ref="K293:K348" si="117">SUM(B293:J293)</f>
        <v>0</v>
      </c>
    </row>
    <row r="294" spans="1:11" x14ac:dyDescent="0.25">
      <c r="A294" s="1" t="s">
        <v>2</v>
      </c>
      <c r="B294" s="7"/>
      <c r="C294" s="7"/>
      <c r="D294" s="7"/>
      <c r="E294" s="7"/>
      <c r="F294" s="7"/>
      <c r="G294" s="7"/>
      <c r="H294" s="7"/>
      <c r="I294" s="7"/>
      <c r="J294" s="7"/>
      <c r="K294" s="7">
        <f t="shared" si="117"/>
        <v>0</v>
      </c>
    </row>
    <row r="295" spans="1:11" x14ac:dyDescent="0.25">
      <c r="A295" s="1" t="s">
        <v>3</v>
      </c>
      <c r="B295" s="7"/>
      <c r="C295" s="7"/>
      <c r="D295" s="7"/>
      <c r="E295" s="7"/>
      <c r="F295" s="7"/>
      <c r="G295" s="7"/>
      <c r="H295" s="7"/>
      <c r="I295" s="7"/>
      <c r="J295" s="7"/>
      <c r="K295" s="7">
        <f t="shared" si="117"/>
        <v>0</v>
      </c>
    </row>
    <row r="296" spans="1:11" x14ac:dyDescent="0.25">
      <c r="A296" s="1" t="s">
        <v>4</v>
      </c>
      <c r="B296" s="7"/>
      <c r="C296" s="7"/>
      <c r="D296" s="7"/>
      <c r="E296" s="7"/>
      <c r="F296" s="7"/>
      <c r="G296" s="7"/>
      <c r="H296" s="7"/>
      <c r="I296" s="7"/>
      <c r="J296" s="7"/>
      <c r="K296" s="7">
        <f t="shared" si="117"/>
        <v>0</v>
      </c>
    </row>
    <row r="297" spans="1:11" x14ac:dyDescent="0.25">
      <c r="A297" s="1" t="s">
        <v>5</v>
      </c>
      <c r="B297" s="7"/>
      <c r="C297" s="7"/>
      <c r="D297" s="7"/>
      <c r="E297" s="7"/>
      <c r="F297" s="7"/>
      <c r="G297" s="7"/>
      <c r="H297" s="7"/>
      <c r="I297" s="7"/>
      <c r="J297" s="7"/>
      <c r="K297" s="7">
        <f t="shared" si="117"/>
        <v>0</v>
      </c>
    </row>
    <row r="299" spans="1:11" x14ac:dyDescent="0.25">
      <c r="A299" s="2" t="s">
        <v>15</v>
      </c>
      <c r="B299" s="6"/>
      <c r="C299" s="6"/>
      <c r="D299" s="6"/>
      <c r="E299" s="6"/>
      <c r="F299" s="6"/>
      <c r="G299" s="6"/>
      <c r="H299" s="6"/>
      <c r="I299" s="6"/>
      <c r="J299" s="6"/>
      <c r="K299" s="6">
        <f t="shared" ref="K299:K301" si="118">IF(K292&gt;0,K293/K292,0)</f>
        <v>0</v>
      </c>
    </row>
    <row r="300" spans="1:11" x14ac:dyDescent="0.25">
      <c r="A300" s="2" t="s">
        <v>16</v>
      </c>
      <c r="B300" s="6"/>
      <c r="C300" s="6"/>
      <c r="D300" s="6"/>
      <c r="E300" s="6"/>
      <c r="F300" s="6"/>
      <c r="G300" s="6"/>
      <c r="H300" s="6"/>
      <c r="I300" s="6"/>
      <c r="J300" s="6"/>
      <c r="K300" s="6">
        <f t="shared" si="118"/>
        <v>0</v>
      </c>
    </row>
    <row r="301" spans="1:11" x14ac:dyDescent="0.25">
      <c r="A301" s="2" t="s">
        <v>17</v>
      </c>
      <c r="B301" s="6"/>
      <c r="C301" s="6"/>
      <c r="D301" s="6"/>
      <c r="E301" s="6"/>
      <c r="F301" s="6"/>
      <c r="G301" s="6"/>
      <c r="H301" s="6"/>
      <c r="I301" s="6"/>
      <c r="J301" s="6"/>
      <c r="K301" s="6">
        <f t="shared" si="118"/>
        <v>0</v>
      </c>
    </row>
    <row r="302" spans="1:11" x14ac:dyDescent="0.25">
      <c r="A302" s="2" t="s">
        <v>18</v>
      </c>
      <c r="B302" s="8"/>
      <c r="C302" s="8"/>
      <c r="D302" s="8"/>
      <c r="E302" s="8"/>
      <c r="F302" s="8"/>
      <c r="G302" s="8"/>
      <c r="H302" s="8"/>
      <c r="I302" s="8"/>
      <c r="J302" s="8"/>
      <c r="K302" s="8">
        <f t="shared" ref="K302:K304" si="119">IF(K292&gt;0,K$8/K292,0)</f>
        <v>0</v>
      </c>
    </row>
    <row r="303" spans="1:11" x14ac:dyDescent="0.25">
      <c r="A303" s="2" t="s">
        <v>19</v>
      </c>
      <c r="B303" s="8"/>
      <c r="C303" s="8"/>
      <c r="D303" s="8"/>
      <c r="E303" s="8"/>
      <c r="F303" s="8"/>
      <c r="G303" s="8"/>
      <c r="H303" s="8"/>
      <c r="I303" s="8"/>
      <c r="J303" s="8"/>
      <c r="K303" s="8">
        <f t="shared" si="119"/>
        <v>0</v>
      </c>
    </row>
    <row r="304" spans="1:11" x14ac:dyDescent="0.25">
      <c r="A304" s="2" t="s">
        <v>20</v>
      </c>
      <c r="B304" s="8"/>
      <c r="C304" s="8"/>
      <c r="D304" s="8"/>
      <c r="E304" s="8"/>
      <c r="F304" s="8"/>
      <c r="G304" s="8"/>
      <c r="H304" s="8"/>
      <c r="I304" s="8"/>
      <c r="J304" s="8"/>
      <c r="K304" s="8">
        <f t="shared" si="119"/>
        <v>0</v>
      </c>
    </row>
    <row r="305" spans="1:11" x14ac:dyDescent="0.25">
      <c r="A305" s="2" t="s">
        <v>22</v>
      </c>
      <c r="B305" s="8"/>
      <c r="C305" s="8"/>
      <c r="D305" s="8"/>
      <c r="E305" s="8"/>
      <c r="F305" s="8"/>
      <c r="G305" s="8"/>
      <c r="H305" s="8"/>
      <c r="I305" s="8"/>
      <c r="J305" s="8"/>
      <c r="K305" s="8">
        <f t="shared" ref="K305" si="120">IF(K295&gt;0,K296/K295,0)</f>
        <v>0</v>
      </c>
    </row>
    <row r="306" spans="1:11" x14ac:dyDescent="0.25">
      <c r="A306" s="2" t="s">
        <v>21</v>
      </c>
      <c r="B306" s="8"/>
      <c r="C306" s="8"/>
      <c r="D306" s="8"/>
      <c r="E306" s="8"/>
      <c r="F306" s="8"/>
      <c r="G306" s="8"/>
      <c r="H306" s="8"/>
      <c r="I306" s="8"/>
      <c r="J306" s="8"/>
      <c r="K306" s="8">
        <f t="shared" ref="K306" si="121">IF(K297&gt;0,(K296-K297)/K297,0)</f>
        <v>0</v>
      </c>
    </row>
    <row r="307" spans="1:11" x14ac:dyDescent="0.25">
      <c r="A307" s="2" t="s">
        <v>23</v>
      </c>
      <c r="B307" s="8"/>
      <c r="C307" s="8"/>
      <c r="D307" s="8"/>
      <c r="E307" s="8"/>
      <c r="F307" s="8"/>
      <c r="G307" s="8"/>
      <c r="H307" s="8"/>
      <c r="I307" s="8"/>
      <c r="J307" s="8"/>
      <c r="K307" s="8">
        <f t="shared" ref="K307" si="122">K296-K297</f>
        <v>0</v>
      </c>
    </row>
    <row r="308" spans="1:11" x14ac:dyDescent="0.25">
      <c r="A308" s="9" t="str">
        <f>VLOOKUP(INT((ROW()-1)/17)+1,Справочник!A:D,3,0)</f>
        <v>Май неделя 3 (16-22 мая)</v>
      </c>
      <c r="B308" s="9">
        <f t="shared" ref="B308:J359" si="123">B$2</f>
        <v>0</v>
      </c>
      <c r="C308" s="9">
        <f t="shared" si="123"/>
        <v>0</v>
      </c>
      <c r="D308" s="9">
        <f t="shared" si="123"/>
        <v>0</v>
      </c>
      <c r="E308" s="9">
        <f t="shared" si="123"/>
        <v>0</v>
      </c>
      <c r="F308" s="9">
        <f t="shared" si="123"/>
        <v>0</v>
      </c>
      <c r="G308" s="9">
        <f t="shared" si="123"/>
        <v>0</v>
      </c>
      <c r="H308" s="9">
        <f t="shared" si="123"/>
        <v>0</v>
      </c>
      <c r="I308" s="9">
        <f t="shared" si="123"/>
        <v>0</v>
      </c>
      <c r="J308" s="9">
        <f t="shared" si="123"/>
        <v>0</v>
      </c>
      <c r="K308" s="9">
        <f>'Учет данных'!K310</f>
        <v>0</v>
      </c>
    </row>
    <row r="309" spans="1:11" x14ac:dyDescent="0.25">
      <c r="A309" s="1" t="s">
        <v>0</v>
      </c>
      <c r="B309" s="7"/>
      <c r="C309" s="7"/>
      <c r="D309" s="7"/>
      <c r="E309" s="7"/>
      <c r="F309" s="7"/>
      <c r="G309" s="7"/>
      <c r="H309" s="7"/>
      <c r="I309" s="7"/>
      <c r="J309" s="7"/>
      <c r="K309" s="7">
        <f t="shared" ref="K309" si="124">SUM(B309:J309)</f>
        <v>0</v>
      </c>
    </row>
    <row r="310" spans="1:11" x14ac:dyDescent="0.25">
      <c r="A310" s="1" t="s">
        <v>1</v>
      </c>
      <c r="B310" s="7"/>
      <c r="C310" s="7"/>
      <c r="D310" s="7"/>
      <c r="E310" s="7"/>
      <c r="F310" s="7"/>
      <c r="G310" s="7"/>
      <c r="H310" s="7"/>
      <c r="I310" s="7"/>
      <c r="J310" s="7"/>
      <c r="K310" s="7">
        <f t="shared" si="117"/>
        <v>0</v>
      </c>
    </row>
    <row r="311" spans="1:11" x14ac:dyDescent="0.25">
      <c r="A311" s="1" t="s">
        <v>2</v>
      </c>
      <c r="B311" s="7"/>
      <c r="C311" s="7"/>
      <c r="D311" s="7"/>
      <c r="E311" s="7"/>
      <c r="F311" s="7"/>
      <c r="G311" s="7"/>
      <c r="H311" s="7"/>
      <c r="I311" s="7"/>
      <c r="J311" s="7"/>
      <c r="K311" s="7">
        <f t="shared" si="117"/>
        <v>0</v>
      </c>
    </row>
    <row r="312" spans="1:11" x14ac:dyDescent="0.25">
      <c r="A312" s="1" t="s">
        <v>3</v>
      </c>
      <c r="B312" s="7"/>
      <c r="C312" s="7"/>
      <c r="D312" s="7"/>
      <c r="E312" s="7"/>
      <c r="F312" s="7"/>
      <c r="G312" s="7"/>
      <c r="H312" s="7"/>
      <c r="I312" s="7"/>
      <c r="J312" s="7"/>
      <c r="K312" s="7">
        <f t="shared" si="117"/>
        <v>0</v>
      </c>
    </row>
    <row r="313" spans="1:11" x14ac:dyDescent="0.25">
      <c r="A313" s="1" t="s">
        <v>4</v>
      </c>
      <c r="B313" s="7"/>
      <c r="C313" s="7"/>
      <c r="D313" s="7"/>
      <c r="E313" s="7"/>
      <c r="F313" s="7"/>
      <c r="G313" s="7"/>
      <c r="H313" s="7"/>
      <c r="I313" s="7"/>
      <c r="J313" s="7"/>
      <c r="K313" s="7">
        <f t="shared" si="117"/>
        <v>0</v>
      </c>
    </row>
    <row r="314" spans="1:11" x14ac:dyDescent="0.25">
      <c r="A314" s="1" t="s">
        <v>5</v>
      </c>
      <c r="B314" s="7"/>
      <c r="C314" s="7"/>
      <c r="D314" s="7"/>
      <c r="E314" s="7"/>
      <c r="F314" s="7"/>
      <c r="G314" s="7"/>
      <c r="H314" s="7"/>
      <c r="I314" s="7"/>
      <c r="J314" s="7"/>
      <c r="K314" s="7">
        <f t="shared" si="117"/>
        <v>0</v>
      </c>
    </row>
    <row r="316" spans="1:11" x14ac:dyDescent="0.25">
      <c r="A316" s="2" t="s">
        <v>15</v>
      </c>
      <c r="B316" s="6"/>
      <c r="C316" s="6"/>
      <c r="D316" s="6"/>
      <c r="E316" s="6"/>
      <c r="F316" s="6"/>
      <c r="G316" s="6"/>
      <c r="H316" s="6"/>
      <c r="I316" s="6"/>
      <c r="J316" s="6"/>
      <c r="K316" s="6">
        <f t="shared" ref="K316:K318" si="125">IF(K309&gt;0,K310/K309,0)</f>
        <v>0</v>
      </c>
    </row>
    <row r="317" spans="1:11" x14ac:dyDescent="0.25">
      <c r="A317" s="2" t="s">
        <v>16</v>
      </c>
      <c r="B317" s="6"/>
      <c r="C317" s="6"/>
      <c r="D317" s="6"/>
      <c r="E317" s="6"/>
      <c r="F317" s="6"/>
      <c r="G317" s="6"/>
      <c r="H317" s="6"/>
      <c r="I317" s="6"/>
      <c r="J317" s="6"/>
      <c r="K317" s="6">
        <f t="shared" si="125"/>
        <v>0</v>
      </c>
    </row>
    <row r="318" spans="1:11" x14ac:dyDescent="0.25">
      <c r="A318" s="2" t="s">
        <v>17</v>
      </c>
      <c r="B318" s="6"/>
      <c r="C318" s="6"/>
      <c r="D318" s="6"/>
      <c r="E318" s="6"/>
      <c r="F318" s="6"/>
      <c r="G318" s="6"/>
      <c r="H318" s="6"/>
      <c r="I318" s="6"/>
      <c r="J318" s="6"/>
      <c r="K318" s="6">
        <f t="shared" si="125"/>
        <v>0</v>
      </c>
    </row>
    <row r="319" spans="1:11" x14ac:dyDescent="0.25">
      <c r="A319" s="2" t="s">
        <v>18</v>
      </c>
      <c r="B319" s="8"/>
      <c r="C319" s="8"/>
      <c r="D319" s="8"/>
      <c r="E319" s="8"/>
      <c r="F319" s="8"/>
      <c r="G319" s="8"/>
      <c r="H319" s="8"/>
      <c r="I319" s="8"/>
      <c r="J319" s="8"/>
      <c r="K319" s="8">
        <f t="shared" ref="K319:K321" si="126">IF(K309&gt;0,K$8/K309,0)</f>
        <v>0</v>
      </c>
    </row>
    <row r="320" spans="1:11" x14ac:dyDescent="0.25">
      <c r="A320" s="2" t="s">
        <v>19</v>
      </c>
      <c r="B320" s="8"/>
      <c r="C320" s="8"/>
      <c r="D320" s="8"/>
      <c r="E320" s="8"/>
      <c r="F320" s="8"/>
      <c r="G320" s="8"/>
      <c r="H320" s="8"/>
      <c r="I320" s="8"/>
      <c r="J320" s="8"/>
      <c r="K320" s="8">
        <f t="shared" si="126"/>
        <v>0</v>
      </c>
    </row>
    <row r="321" spans="1:11" x14ac:dyDescent="0.25">
      <c r="A321" s="2" t="s">
        <v>20</v>
      </c>
      <c r="B321" s="8"/>
      <c r="C321" s="8"/>
      <c r="D321" s="8"/>
      <c r="E321" s="8"/>
      <c r="F321" s="8"/>
      <c r="G321" s="8"/>
      <c r="H321" s="8"/>
      <c r="I321" s="8"/>
      <c r="J321" s="8"/>
      <c r="K321" s="8">
        <f t="shared" si="126"/>
        <v>0</v>
      </c>
    </row>
    <row r="322" spans="1:11" x14ac:dyDescent="0.25">
      <c r="A322" s="2" t="s">
        <v>22</v>
      </c>
      <c r="B322" s="8"/>
      <c r="C322" s="8"/>
      <c r="D322" s="8"/>
      <c r="E322" s="8"/>
      <c r="F322" s="8"/>
      <c r="G322" s="8"/>
      <c r="H322" s="8"/>
      <c r="I322" s="8"/>
      <c r="J322" s="8"/>
      <c r="K322" s="8">
        <f t="shared" ref="K322" si="127">IF(K312&gt;0,K313/K312,0)</f>
        <v>0</v>
      </c>
    </row>
    <row r="323" spans="1:11" x14ac:dyDescent="0.25">
      <c r="A323" s="2" t="s">
        <v>21</v>
      </c>
      <c r="B323" s="8"/>
      <c r="C323" s="8"/>
      <c r="D323" s="8"/>
      <c r="E323" s="8"/>
      <c r="F323" s="8"/>
      <c r="G323" s="8"/>
      <c r="H323" s="8"/>
      <c r="I323" s="8"/>
      <c r="J323" s="8"/>
      <c r="K323" s="8">
        <f t="shared" ref="K323" si="128">IF(K314&gt;0,(K313-K314)/K314,0)</f>
        <v>0</v>
      </c>
    </row>
    <row r="324" spans="1:11" x14ac:dyDescent="0.25">
      <c r="A324" s="2" t="s">
        <v>23</v>
      </c>
      <c r="B324" s="8"/>
      <c r="C324" s="8"/>
      <c r="D324" s="8"/>
      <c r="E324" s="8"/>
      <c r="F324" s="8"/>
      <c r="G324" s="8"/>
      <c r="H324" s="8"/>
      <c r="I324" s="8"/>
      <c r="J324" s="8"/>
      <c r="K324" s="8">
        <f t="shared" ref="K324" si="129">K313-K314</f>
        <v>0</v>
      </c>
    </row>
    <row r="325" spans="1:11" x14ac:dyDescent="0.25">
      <c r="A325" s="9" t="str">
        <f>VLOOKUP(INT((ROW()-1)/17)+1,Справочник!A:D,3,0)</f>
        <v>Май неделя 4 (23-31 мая)</v>
      </c>
      <c r="B325" s="9">
        <f t="shared" ref="B325" si="130">B$2</f>
        <v>0</v>
      </c>
      <c r="C325" s="9">
        <f t="shared" si="123"/>
        <v>0</v>
      </c>
      <c r="D325" s="9">
        <f t="shared" si="123"/>
        <v>0</v>
      </c>
      <c r="E325" s="9">
        <f t="shared" si="123"/>
        <v>0</v>
      </c>
      <c r="F325" s="9">
        <f t="shared" si="123"/>
        <v>0</v>
      </c>
      <c r="G325" s="9">
        <f t="shared" si="123"/>
        <v>0</v>
      </c>
      <c r="H325" s="9">
        <f t="shared" si="123"/>
        <v>0</v>
      </c>
      <c r="I325" s="9">
        <f t="shared" si="123"/>
        <v>0</v>
      </c>
      <c r="J325" s="9">
        <f t="shared" si="123"/>
        <v>0</v>
      </c>
      <c r="K325" s="9">
        <f>'Учет данных'!K327</f>
        <v>0</v>
      </c>
    </row>
    <row r="326" spans="1:11" x14ac:dyDescent="0.25">
      <c r="A326" s="1" t="s">
        <v>0</v>
      </c>
      <c r="B326" s="7"/>
      <c r="C326" s="7"/>
      <c r="D326" s="7"/>
      <c r="E326" s="7"/>
      <c r="F326" s="7"/>
      <c r="G326" s="7"/>
      <c r="H326" s="7"/>
      <c r="I326" s="7"/>
      <c r="J326" s="7"/>
      <c r="K326" s="7">
        <f t="shared" ref="K326" si="131">SUM(B326:J326)</f>
        <v>0</v>
      </c>
    </row>
    <row r="327" spans="1:11" x14ac:dyDescent="0.25">
      <c r="A327" s="1" t="s">
        <v>1</v>
      </c>
      <c r="B327" s="7"/>
      <c r="C327" s="7"/>
      <c r="D327" s="7"/>
      <c r="E327" s="7"/>
      <c r="F327" s="7"/>
      <c r="G327" s="7"/>
      <c r="H327" s="7"/>
      <c r="I327" s="7"/>
      <c r="J327" s="7"/>
      <c r="K327" s="7">
        <f t="shared" si="117"/>
        <v>0</v>
      </c>
    </row>
    <row r="328" spans="1:11" x14ac:dyDescent="0.25">
      <c r="A328" s="1" t="s">
        <v>2</v>
      </c>
      <c r="B328" s="7"/>
      <c r="C328" s="7"/>
      <c r="D328" s="7"/>
      <c r="E328" s="7"/>
      <c r="F328" s="7"/>
      <c r="G328" s="7"/>
      <c r="H328" s="7"/>
      <c r="I328" s="7"/>
      <c r="J328" s="7"/>
      <c r="K328" s="7">
        <f t="shared" si="117"/>
        <v>0</v>
      </c>
    </row>
    <row r="329" spans="1:11" x14ac:dyDescent="0.25">
      <c r="A329" s="1" t="s">
        <v>3</v>
      </c>
      <c r="B329" s="7"/>
      <c r="C329" s="7"/>
      <c r="D329" s="7"/>
      <c r="E329" s="7"/>
      <c r="F329" s="7"/>
      <c r="G329" s="7"/>
      <c r="H329" s="7"/>
      <c r="I329" s="7"/>
      <c r="J329" s="7"/>
      <c r="K329" s="7">
        <f t="shared" si="117"/>
        <v>0</v>
      </c>
    </row>
    <row r="330" spans="1:11" x14ac:dyDescent="0.25">
      <c r="A330" s="1" t="s">
        <v>4</v>
      </c>
      <c r="B330" s="7"/>
      <c r="C330" s="7"/>
      <c r="D330" s="7"/>
      <c r="E330" s="7"/>
      <c r="F330" s="7"/>
      <c r="G330" s="7"/>
      <c r="H330" s="7"/>
      <c r="I330" s="7"/>
      <c r="J330" s="7"/>
      <c r="K330" s="7">
        <f t="shared" si="117"/>
        <v>0</v>
      </c>
    </row>
    <row r="331" spans="1:11" x14ac:dyDescent="0.25">
      <c r="A331" s="1" t="s">
        <v>5</v>
      </c>
      <c r="B331" s="7"/>
      <c r="C331" s="7"/>
      <c r="D331" s="7"/>
      <c r="E331" s="7"/>
      <c r="F331" s="7"/>
      <c r="G331" s="7"/>
      <c r="H331" s="7"/>
      <c r="I331" s="7"/>
      <c r="J331" s="7"/>
      <c r="K331" s="7">
        <f t="shared" si="117"/>
        <v>0</v>
      </c>
    </row>
    <row r="333" spans="1:11" x14ac:dyDescent="0.25">
      <c r="A333" s="2" t="s">
        <v>15</v>
      </c>
      <c r="B333" s="6"/>
      <c r="C333" s="6"/>
      <c r="D333" s="6"/>
      <c r="E333" s="6"/>
      <c r="F333" s="6"/>
      <c r="G333" s="6"/>
      <c r="H333" s="6"/>
      <c r="I333" s="6"/>
      <c r="J333" s="6"/>
      <c r="K333" s="6">
        <f t="shared" ref="K333:K335" si="132">IF(K326&gt;0,K327/K326,0)</f>
        <v>0</v>
      </c>
    </row>
    <row r="334" spans="1:11" x14ac:dyDescent="0.25">
      <c r="A334" s="2" t="s">
        <v>16</v>
      </c>
      <c r="B334" s="6"/>
      <c r="C334" s="6"/>
      <c r="D334" s="6"/>
      <c r="E334" s="6"/>
      <c r="F334" s="6"/>
      <c r="G334" s="6"/>
      <c r="H334" s="6"/>
      <c r="I334" s="6"/>
      <c r="J334" s="6"/>
      <c r="K334" s="6">
        <f t="shared" si="132"/>
        <v>0</v>
      </c>
    </row>
    <row r="335" spans="1:11" x14ac:dyDescent="0.25">
      <c r="A335" s="2" t="s">
        <v>17</v>
      </c>
      <c r="B335" s="6"/>
      <c r="C335" s="6"/>
      <c r="D335" s="6"/>
      <c r="E335" s="6"/>
      <c r="F335" s="6"/>
      <c r="G335" s="6"/>
      <c r="H335" s="6"/>
      <c r="I335" s="6"/>
      <c r="J335" s="6"/>
      <c r="K335" s="6">
        <f t="shared" si="132"/>
        <v>0</v>
      </c>
    </row>
    <row r="336" spans="1:11" x14ac:dyDescent="0.25">
      <c r="A336" s="2" t="s">
        <v>18</v>
      </c>
      <c r="B336" s="8"/>
      <c r="C336" s="8"/>
      <c r="D336" s="8"/>
      <c r="E336" s="8"/>
      <c r="F336" s="8"/>
      <c r="G336" s="8"/>
      <c r="H336" s="8"/>
      <c r="I336" s="8"/>
      <c r="J336" s="8"/>
      <c r="K336" s="8">
        <f t="shared" ref="K336:K338" si="133">IF(K326&gt;0,K$8/K326,0)</f>
        <v>0</v>
      </c>
    </row>
    <row r="337" spans="1:11" x14ac:dyDescent="0.25">
      <c r="A337" s="2" t="s">
        <v>19</v>
      </c>
      <c r="B337" s="8"/>
      <c r="C337" s="8"/>
      <c r="D337" s="8"/>
      <c r="E337" s="8"/>
      <c r="F337" s="8"/>
      <c r="G337" s="8"/>
      <c r="H337" s="8"/>
      <c r="I337" s="8"/>
      <c r="J337" s="8"/>
      <c r="K337" s="8">
        <f t="shared" si="133"/>
        <v>0</v>
      </c>
    </row>
    <row r="338" spans="1:11" x14ac:dyDescent="0.25">
      <c r="A338" s="2" t="s">
        <v>20</v>
      </c>
      <c r="B338" s="8"/>
      <c r="C338" s="8"/>
      <c r="D338" s="8"/>
      <c r="E338" s="8"/>
      <c r="F338" s="8"/>
      <c r="G338" s="8"/>
      <c r="H338" s="8"/>
      <c r="I338" s="8"/>
      <c r="J338" s="8"/>
      <c r="K338" s="8">
        <f t="shared" si="133"/>
        <v>0</v>
      </c>
    </row>
    <row r="339" spans="1:11" x14ac:dyDescent="0.25">
      <c r="A339" s="2" t="s">
        <v>22</v>
      </c>
      <c r="B339" s="8"/>
      <c r="C339" s="8"/>
      <c r="D339" s="8"/>
      <c r="E339" s="8"/>
      <c r="F339" s="8"/>
      <c r="G339" s="8"/>
      <c r="H339" s="8"/>
      <c r="I339" s="8"/>
      <c r="J339" s="8"/>
      <c r="K339" s="8">
        <f t="shared" ref="K339" si="134">IF(K329&gt;0,K330/K329,0)</f>
        <v>0</v>
      </c>
    </row>
    <row r="340" spans="1:11" x14ac:dyDescent="0.25">
      <c r="A340" s="2" t="s">
        <v>21</v>
      </c>
      <c r="B340" s="8"/>
      <c r="C340" s="8"/>
      <c r="D340" s="8"/>
      <c r="E340" s="8"/>
      <c r="F340" s="8"/>
      <c r="G340" s="8"/>
      <c r="H340" s="8"/>
      <c r="I340" s="8"/>
      <c r="J340" s="8"/>
      <c r="K340" s="8">
        <f t="shared" ref="K340" si="135">IF(K331&gt;0,(K330-K331)/K331,0)</f>
        <v>0</v>
      </c>
    </row>
    <row r="341" spans="1:11" x14ac:dyDescent="0.25">
      <c r="A341" s="2" t="s">
        <v>23</v>
      </c>
      <c r="B341" s="8"/>
      <c r="C341" s="8"/>
      <c r="D341" s="8"/>
      <c r="E341" s="8"/>
      <c r="F341" s="8"/>
      <c r="G341" s="8"/>
      <c r="H341" s="8"/>
      <c r="I341" s="8"/>
      <c r="J341" s="8"/>
      <c r="K341" s="8">
        <f t="shared" ref="K341" si="136">K330-K331</f>
        <v>0</v>
      </c>
    </row>
    <row r="342" spans="1:11" x14ac:dyDescent="0.25">
      <c r="A342" s="9" t="str">
        <f>VLOOKUP(INT((ROW()-1)/17)+1,Справочник!A:D,3,0)</f>
        <v>Июнь неделя 1 (01-05 июн.)</v>
      </c>
      <c r="B342" s="9">
        <f t="shared" ref="B342" si="137">B$2</f>
        <v>0</v>
      </c>
      <c r="C342" s="9">
        <f t="shared" si="123"/>
        <v>0</v>
      </c>
      <c r="D342" s="9">
        <f t="shared" si="123"/>
        <v>0</v>
      </c>
      <c r="E342" s="9">
        <f t="shared" si="123"/>
        <v>0</v>
      </c>
      <c r="F342" s="9">
        <f t="shared" si="123"/>
        <v>0</v>
      </c>
      <c r="G342" s="9">
        <f t="shared" si="123"/>
        <v>0</v>
      </c>
      <c r="H342" s="9">
        <f t="shared" si="123"/>
        <v>0</v>
      </c>
      <c r="I342" s="9">
        <f t="shared" si="123"/>
        <v>0</v>
      </c>
      <c r="J342" s="9">
        <f t="shared" si="123"/>
        <v>0</v>
      </c>
      <c r="K342" s="9">
        <f>'Учет данных'!K344</f>
        <v>0</v>
      </c>
    </row>
    <row r="343" spans="1:11" x14ac:dyDescent="0.25">
      <c r="A343" s="1" t="s">
        <v>0</v>
      </c>
      <c r="B343" s="7"/>
      <c r="C343" s="7"/>
      <c r="D343" s="7"/>
      <c r="E343" s="7"/>
      <c r="F343" s="7"/>
      <c r="G343" s="7"/>
      <c r="H343" s="7"/>
      <c r="I343" s="7"/>
      <c r="J343" s="7"/>
      <c r="K343" s="7">
        <f t="shared" ref="K343" si="138">SUM(B343:J343)</f>
        <v>0</v>
      </c>
    </row>
    <row r="344" spans="1:11" x14ac:dyDescent="0.25">
      <c r="A344" s="1" t="s">
        <v>1</v>
      </c>
      <c r="B344" s="7"/>
      <c r="C344" s="7"/>
      <c r="D344" s="7"/>
      <c r="E344" s="7"/>
      <c r="F344" s="7"/>
      <c r="G344" s="7"/>
      <c r="H344" s="7"/>
      <c r="I344" s="7"/>
      <c r="J344" s="7"/>
      <c r="K344" s="7">
        <f t="shared" si="117"/>
        <v>0</v>
      </c>
    </row>
    <row r="345" spans="1:11" x14ac:dyDescent="0.25">
      <c r="A345" s="1" t="s">
        <v>2</v>
      </c>
      <c r="B345" s="7"/>
      <c r="C345" s="7"/>
      <c r="D345" s="7"/>
      <c r="E345" s="7"/>
      <c r="F345" s="7"/>
      <c r="G345" s="7"/>
      <c r="H345" s="7"/>
      <c r="I345" s="7"/>
      <c r="J345" s="7"/>
      <c r="K345" s="7">
        <f t="shared" si="117"/>
        <v>0</v>
      </c>
    </row>
    <row r="346" spans="1:11" x14ac:dyDescent="0.25">
      <c r="A346" s="1" t="s">
        <v>3</v>
      </c>
      <c r="B346" s="7"/>
      <c r="C346" s="7"/>
      <c r="D346" s="7"/>
      <c r="E346" s="7"/>
      <c r="F346" s="7"/>
      <c r="G346" s="7"/>
      <c r="H346" s="7"/>
      <c r="I346" s="7"/>
      <c r="J346" s="7"/>
      <c r="K346" s="7">
        <f t="shared" si="117"/>
        <v>0</v>
      </c>
    </row>
    <row r="347" spans="1:11" x14ac:dyDescent="0.25">
      <c r="A347" s="1" t="s">
        <v>4</v>
      </c>
      <c r="B347" s="7"/>
      <c r="C347" s="7"/>
      <c r="D347" s="7"/>
      <c r="E347" s="7"/>
      <c r="F347" s="7"/>
      <c r="G347" s="7"/>
      <c r="H347" s="7"/>
      <c r="I347" s="7"/>
      <c r="J347" s="7"/>
      <c r="K347" s="7">
        <f t="shared" si="117"/>
        <v>0</v>
      </c>
    </row>
    <row r="348" spans="1:11" x14ac:dyDescent="0.25">
      <c r="A348" s="1" t="s">
        <v>5</v>
      </c>
      <c r="B348" s="7"/>
      <c r="C348" s="7"/>
      <c r="D348" s="7"/>
      <c r="E348" s="7"/>
      <c r="F348" s="7"/>
      <c r="G348" s="7"/>
      <c r="H348" s="7"/>
      <c r="I348" s="7"/>
      <c r="J348" s="7"/>
      <c r="K348" s="7">
        <f t="shared" si="117"/>
        <v>0</v>
      </c>
    </row>
    <row r="350" spans="1:11" x14ac:dyDescent="0.25">
      <c r="A350" s="2" t="s">
        <v>15</v>
      </c>
      <c r="B350" s="6"/>
      <c r="C350" s="6"/>
      <c r="D350" s="6"/>
      <c r="E350" s="6"/>
      <c r="F350" s="6"/>
      <c r="G350" s="6"/>
      <c r="H350" s="6"/>
      <c r="I350" s="6"/>
      <c r="J350" s="6"/>
      <c r="K350" s="6">
        <f t="shared" ref="K350:K352" si="139">IF(K343&gt;0,K344/K343,0)</f>
        <v>0</v>
      </c>
    </row>
    <row r="351" spans="1:11" x14ac:dyDescent="0.25">
      <c r="A351" s="2" t="s">
        <v>16</v>
      </c>
      <c r="B351" s="6"/>
      <c r="C351" s="6"/>
      <c r="D351" s="6"/>
      <c r="E351" s="6"/>
      <c r="F351" s="6"/>
      <c r="G351" s="6"/>
      <c r="H351" s="6"/>
      <c r="I351" s="6"/>
      <c r="J351" s="6"/>
      <c r="K351" s="6">
        <f t="shared" si="139"/>
        <v>0</v>
      </c>
    </row>
    <row r="352" spans="1:11" x14ac:dyDescent="0.25">
      <c r="A352" s="2" t="s">
        <v>17</v>
      </c>
      <c r="B352" s="6"/>
      <c r="C352" s="6"/>
      <c r="D352" s="6"/>
      <c r="E352" s="6"/>
      <c r="F352" s="6"/>
      <c r="G352" s="6"/>
      <c r="H352" s="6"/>
      <c r="I352" s="6"/>
      <c r="J352" s="6"/>
      <c r="K352" s="6">
        <f t="shared" si="139"/>
        <v>0</v>
      </c>
    </row>
    <row r="353" spans="1:11" x14ac:dyDescent="0.25">
      <c r="A353" s="2" t="s">
        <v>18</v>
      </c>
      <c r="B353" s="8"/>
      <c r="C353" s="8"/>
      <c r="D353" s="8"/>
      <c r="E353" s="8"/>
      <c r="F353" s="8"/>
      <c r="G353" s="8"/>
      <c r="H353" s="8"/>
      <c r="I353" s="8"/>
      <c r="J353" s="8"/>
      <c r="K353" s="8">
        <f t="shared" ref="K353:K355" si="140">IF(K343&gt;0,K$8/K343,0)</f>
        <v>0</v>
      </c>
    </row>
    <row r="354" spans="1:11" x14ac:dyDescent="0.25">
      <c r="A354" s="2" t="s">
        <v>19</v>
      </c>
      <c r="B354" s="8"/>
      <c r="C354" s="8"/>
      <c r="D354" s="8"/>
      <c r="E354" s="8"/>
      <c r="F354" s="8"/>
      <c r="G354" s="8"/>
      <c r="H354" s="8"/>
      <c r="I354" s="8"/>
      <c r="J354" s="8"/>
      <c r="K354" s="8">
        <f t="shared" si="140"/>
        <v>0</v>
      </c>
    </row>
    <row r="355" spans="1:11" x14ac:dyDescent="0.25">
      <c r="A355" s="2" t="s">
        <v>20</v>
      </c>
      <c r="B355" s="8"/>
      <c r="C355" s="8"/>
      <c r="D355" s="8"/>
      <c r="E355" s="8"/>
      <c r="F355" s="8"/>
      <c r="G355" s="8"/>
      <c r="H355" s="8"/>
      <c r="I355" s="8"/>
      <c r="J355" s="8"/>
      <c r="K355" s="8">
        <f t="shared" si="140"/>
        <v>0</v>
      </c>
    </row>
    <row r="356" spans="1:11" x14ac:dyDescent="0.25">
      <c r="A356" s="2" t="s">
        <v>22</v>
      </c>
      <c r="B356" s="8"/>
      <c r="C356" s="8"/>
      <c r="D356" s="8"/>
      <c r="E356" s="8"/>
      <c r="F356" s="8"/>
      <c r="G356" s="8"/>
      <c r="H356" s="8"/>
      <c r="I356" s="8"/>
      <c r="J356" s="8"/>
      <c r="K356" s="8">
        <f t="shared" ref="K356" si="141">IF(K346&gt;0,K347/K346,0)</f>
        <v>0</v>
      </c>
    </row>
    <row r="357" spans="1:11" x14ac:dyDescent="0.25">
      <c r="A357" s="2" t="s">
        <v>21</v>
      </c>
      <c r="B357" s="8"/>
      <c r="C357" s="8"/>
      <c r="D357" s="8"/>
      <c r="E357" s="8"/>
      <c r="F357" s="8"/>
      <c r="G357" s="8"/>
      <c r="H357" s="8"/>
      <c r="I357" s="8"/>
      <c r="J357" s="8"/>
      <c r="K357" s="8">
        <f t="shared" ref="K357" si="142">IF(K348&gt;0,(K347-K348)/K348,0)</f>
        <v>0</v>
      </c>
    </row>
    <row r="358" spans="1:11" x14ac:dyDescent="0.25">
      <c r="A358" s="2" t="s">
        <v>23</v>
      </c>
      <c r="B358" s="8"/>
      <c r="C358" s="8"/>
      <c r="D358" s="8"/>
      <c r="E358" s="8"/>
      <c r="F358" s="8"/>
      <c r="G358" s="8"/>
      <c r="H358" s="8"/>
      <c r="I358" s="8"/>
      <c r="J358" s="8"/>
      <c r="K358" s="8">
        <f t="shared" ref="K358" si="143">K347-K348</f>
        <v>0</v>
      </c>
    </row>
    <row r="359" spans="1:11" x14ac:dyDescent="0.25">
      <c r="A359" s="9" t="str">
        <f>VLOOKUP(INT((ROW()-1)/17)+1,Справочник!A:D,3,0)</f>
        <v>Июнь неделя 2 (06-12 июн.)</v>
      </c>
      <c r="B359" s="9">
        <f t="shared" ref="B359" si="144">B$2</f>
        <v>0</v>
      </c>
      <c r="C359" s="9">
        <f t="shared" si="123"/>
        <v>0</v>
      </c>
      <c r="D359" s="9">
        <f t="shared" si="123"/>
        <v>0</v>
      </c>
      <c r="E359" s="9">
        <f t="shared" si="123"/>
        <v>0</v>
      </c>
      <c r="F359" s="9">
        <f t="shared" si="123"/>
        <v>0</v>
      </c>
      <c r="G359" s="9">
        <f t="shared" si="123"/>
        <v>0</v>
      </c>
      <c r="H359" s="9">
        <f t="shared" si="123"/>
        <v>0</v>
      </c>
      <c r="I359" s="9">
        <f t="shared" si="123"/>
        <v>0</v>
      </c>
      <c r="J359" s="9">
        <f t="shared" si="123"/>
        <v>0</v>
      </c>
      <c r="K359" s="9">
        <f>'Учет данных'!K361</f>
        <v>0</v>
      </c>
    </row>
    <row r="360" spans="1:11" x14ac:dyDescent="0.25">
      <c r="A360" s="1" t="s">
        <v>0</v>
      </c>
      <c r="B360" s="7"/>
      <c r="C360" s="7"/>
      <c r="D360" s="7"/>
      <c r="E360" s="7"/>
      <c r="F360" s="7"/>
      <c r="G360" s="7"/>
      <c r="H360" s="7"/>
      <c r="I360" s="7"/>
      <c r="J360" s="7"/>
      <c r="K360" s="7">
        <f t="shared" ref="K360" si="145">SUM(B360:J360)</f>
        <v>0</v>
      </c>
    </row>
    <row r="361" spans="1:11" x14ac:dyDescent="0.25">
      <c r="A361" s="1" t="s">
        <v>1</v>
      </c>
      <c r="B361" s="7"/>
      <c r="C361" s="7"/>
      <c r="D361" s="7"/>
      <c r="E361" s="7"/>
      <c r="F361" s="7"/>
      <c r="G361" s="7"/>
      <c r="H361" s="7"/>
      <c r="I361" s="7"/>
      <c r="J361" s="7"/>
      <c r="K361" s="7">
        <f t="shared" ref="K361:K416" si="146">SUM(B361:J361)</f>
        <v>0</v>
      </c>
    </row>
    <row r="362" spans="1:11" x14ac:dyDescent="0.25">
      <c r="A362" s="1" t="s">
        <v>2</v>
      </c>
      <c r="B362" s="7"/>
      <c r="C362" s="7"/>
      <c r="D362" s="7"/>
      <c r="E362" s="7"/>
      <c r="F362" s="7"/>
      <c r="G362" s="7"/>
      <c r="H362" s="7"/>
      <c r="I362" s="7"/>
      <c r="J362" s="7"/>
      <c r="K362" s="7">
        <f t="shared" si="146"/>
        <v>0</v>
      </c>
    </row>
    <row r="363" spans="1:11" x14ac:dyDescent="0.25">
      <c r="A363" s="1" t="s">
        <v>3</v>
      </c>
      <c r="B363" s="7"/>
      <c r="C363" s="7"/>
      <c r="D363" s="7"/>
      <c r="E363" s="7"/>
      <c r="F363" s="7"/>
      <c r="G363" s="7"/>
      <c r="H363" s="7"/>
      <c r="I363" s="7"/>
      <c r="J363" s="7"/>
      <c r="K363" s="7">
        <f t="shared" si="146"/>
        <v>0</v>
      </c>
    </row>
    <row r="364" spans="1:11" x14ac:dyDescent="0.25">
      <c r="A364" s="1" t="s">
        <v>4</v>
      </c>
      <c r="B364" s="7"/>
      <c r="C364" s="7"/>
      <c r="D364" s="7"/>
      <c r="E364" s="7"/>
      <c r="F364" s="7"/>
      <c r="G364" s="7"/>
      <c r="H364" s="7"/>
      <c r="I364" s="7"/>
      <c r="J364" s="7"/>
      <c r="K364" s="7">
        <f t="shared" si="146"/>
        <v>0</v>
      </c>
    </row>
    <row r="365" spans="1:11" x14ac:dyDescent="0.25">
      <c r="A365" s="1" t="s">
        <v>5</v>
      </c>
      <c r="B365" s="7"/>
      <c r="C365" s="7"/>
      <c r="D365" s="7"/>
      <c r="E365" s="7"/>
      <c r="F365" s="7"/>
      <c r="G365" s="7"/>
      <c r="H365" s="7"/>
      <c r="I365" s="7"/>
      <c r="J365" s="7"/>
      <c r="K365" s="7">
        <f t="shared" si="146"/>
        <v>0</v>
      </c>
    </row>
    <row r="367" spans="1:11" x14ac:dyDescent="0.25">
      <c r="A367" s="2" t="s">
        <v>15</v>
      </c>
      <c r="B367" s="6"/>
      <c r="C367" s="6"/>
      <c r="D367" s="6"/>
      <c r="E367" s="6"/>
      <c r="F367" s="6"/>
      <c r="G367" s="6"/>
      <c r="H367" s="6"/>
      <c r="I367" s="6"/>
      <c r="J367" s="6"/>
      <c r="K367" s="6">
        <f t="shared" ref="K367:K369" si="147">IF(K360&gt;0,K361/K360,0)</f>
        <v>0</v>
      </c>
    </row>
    <row r="368" spans="1:11" x14ac:dyDescent="0.25">
      <c r="A368" s="2" t="s">
        <v>16</v>
      </c>
      <c r="B368" s="6"/>
      <c r="C368" s="6"/>
      <c r="D368" s="6"/>
      <c r="E368" s="6"/>
      <c r="F368" s="6"/>
      <c r="G368" s="6"/>
      <c r="H368" s="6"/>
      <c r="I368" s="6"/>
      <c r="J368" s="6"/>
      <c r="K368" s="6">
        <f t="shared" si="147"/>
        <v>0</v>
      </c>
    </row>
    <row r="369" spans="1:11" x14ac:dyDescent="0.25">
      <c r="A369" s="2" t="s">
        <v>17</v>
      </c>
      <c r="B369" s="6"/>
      <c r="C369" s="6"/>
      <c r="D369" s="6"/>
      <c r="E369" s="6"/>
      <c r="F369" s="6"/>
      <c r="G369" s="6"/>
      <c r="H369" s="6"/>
      <c r="I369" s="6"/>
      <c r="J369" s="6"/>
      <c r="K369" s="6">
        <f t="shared" si="147"/>
        <v>0</v>
      </c>
    </row>
    <row r="370" spans="1:11" x14ac:dyDescent="0.25">
      <c r="A370" s="2" t="s">
        <v>18</v>
      </c>
      <c r="B370" s="8"/>
      <c r="C370" s="8"/>
      <c r="D370" s="8"/>
      <c r="E370" s="8"/>
      <c r="F370" s="8"/>
      <c r="G370" s="8"/>
      <c r="H370" s="8"/>
      <c r="I370" s="8"/>
      <c r="J370" s="8"/>
      <c r="K370" s="8">
        <f t="shared" ref="K370:K372" si="148">IF(K360&gt;0,K$8/K360,0)</f>
        <v>0</v>
      </c>
    </row>
    <row r="371" spans="1:11" x14ac:dyDescent="0.25">
      <c r="A371" s="2" t="s">
        <v>19</v>
      </c>
      <c r="B371" s="8"/>
      <c r="C371" s="8"/>
      <c r="D371" s="8"/>
      <c r="E371" s="8"/>
      <c r="F371" s="8"/>
      <c r="G371" s="8"/>
      <c r="H371" s="8"/>
      <c r="I371" s="8"/>
      <c r="J371" s="8"/>
      <c r="K371" s="8">
        <f t="shared" si="148"/>
        <v>0</v>
      </c>
    </row>
    <row r="372" spans="1:11" x14ac:dyDescent="0.25">
      <c r="A372" s="2" t="s">
        <v>20</v>
      </c>
      <c r="B372" s="8"/>
      <c r="C372" s="8"/>
      <c r="D372" s="8"/>
      <c r="E372" s="8"/>
      <c r="F372" s="8"/>
      <c r="G372" s="8"/>
      <c r="H372" s="8"/>
      <c r="I372" s="8"/>
      <c r="J372" s="8"/>
      <c r="K372" s="8">
        <f t="shared" si="148"/>
        <v>0</v>
      </c>
    </row>
    <row r="373" spans="1:11" x14ac:dyDescent="0.25">
      <c r="A373" s="2" t="s">
        <v>22</v>
      </c>
      <c r="B373" s="8"/>
      <c r="C373" s="8"/>
      <c r="D373" s="8"/>
      <c r="E373" s="8"/>
      <c r="F373" s="8"/>
      <c r="G373" s="8"/>
      <c r="H373" s="8"/>
      <c r="I373" s="8"/>
      <c r="J373" s="8"/>
      <c r="K373" s="8">
        <f t="shared" ref="K373" si="149">IF(K363&gt;0,K364/K363,0)</f>
        <v>0</v>
      </c>
    </row>
    <row r="374" spans="1:11" x14ac:dyDescent="0.25">
      <c r="A374" s="2" t="s">
        <v>21</v>
      </c>
      <c r="B374" s="8"/>
      <c r="C374" s="8"/>
      <c r="D374" s="8"/>
      <c r="E374" s="8"/>
      <c r="F374" s="8"/>
      <c r="G374" s="8"/>
      <c r="H374" s="8"/>
      <c r="I374" s="8"/>
      <c r="J374" s="8"/>
      <c r="K374" s="8">
        <f t="shared" ref="K374" si="150">IF(K365&gt;0,(K364-K365)/K365,0)</f>
        <v>0</v>
      </c>
    </row>
    <row r="375" spans="1:11" x14ac:dyDescent="0.25">
      <c r="A375" s="2" t="s">
        <v>23</v>
      </c>
      <c r="B375" s="8"/>
      <c r="C375" s="8"/>
      <c r="D375" s="8"/>
      <c r="E375" s="8"/>
      <c r="F375" s="8"/>
      <c r="G375" s="8"/>
      <c r="H375" s="8"/>
      <c r="I375" s="8"/>
      <c r="J375" s="8"/>
      <c r="K375" s="8">
        <f t="shared" ref="K375" si="151">K364-K365</f>
        <v>0</v>
      </c>
    </row>
    <row r="376" spans="1:11" x14ac:dyDescent="0.25">
      <c r="A376" s="9" t="str">
        <f>VLOOKUP(INT((ROW()-1)/17)+1,Справочник!A:D,3,0)</f>
        <v>Июнь неделя 3 (13-19 июн.)</v>
      </c>
      <c r="B376" s="9">
        <f t="shared" ref="B376:J427" si="152">B$2</f>
        <v>0</v>
      </c>
      <c r="C376" s="9">
        <f t="shared" si="152"/>
        <v>0</v>
      </c>
      <c r="D376" s="9">
        <f t="shared" si="152"/>
        <v>0</v>
      </c>
      <c r="E376" s="9">
        <f t="shared" si="152"/>
        <v>0</v>
      </c>
      <c r="F376" s="9">
        <f t="shared" si="152"/>
        <v>0</v>
      </c>
      <c r="G376" s="9">
        <f t="shared" si="152"/>
        <v>0</v>
      </c>
      <c r="H376" s="9">
        <f t="shared" si="152"/>
        <v>0</v>
      </c>
      <c r="I376" s="9">
        <f t="shared" si="152"/>
        <v>0</v>
      </c>
      <c r="J376" s="9">
        <f t="shared" si="152"/>
        <v>0</v>
      </c>
      <c r="K376" s="9">
        <f>'Учет данных'!K378</f>
        <v>0</v>
      </c>
    </row>
    <row r="377" spans="1:11" x14ac:dyDescent="0.25">
      <c r="A377" s="1" t="s">
        <v>0</v>
      </c>
      <c r="B377" s="7"/>
      <c r="C377" s="7"/>
      <c r="D377" s="7"/>
      <c r="E377" s="7"/>
      <c r="F377" s="7"/>
      <c r="G377" s="7"/>
      <c r="H377" s="7"/>
      <c r="I377" s="7"/>
      <c r="J377" s="7"/>
      <c r="K377" s="7">
        <f t="shared" ref="K377" si="153">SUM(B377:J377)</f>
        <v>0</v>
      </c>
    </row>
    <row r="378" spans="1:11" x14ac:dyDescent="0.25">
      <c r="A378" s="1" t="s">
        <v>1</v>
      </c>
      <c r="B378" s="7"/>
      <c r="C378" s="7"/>
      <c r="D378" s="7"/>
      <c r="E378" s="7"/>
      <c r="F378" s="7"/>
      <c r="G378" s="7"/>
      <c r="H378" s="7"/>
      <c r="I378" s="7"/>
      <c r="J378" s="7"/>
      <c r="K378" s="7">
        <f t="shared" si="146"/>
        <v>0</v>
      </c>
    </row>
    <row r="379" spans="1:11" x14ac:dyDescent="0.25">
      <c r="A379" s="1" t="s">
        <v>2</v>
      </c>
      <c r="B379" s="7"/>
      <c r="C379" s="7"/>
      <c r="D379" s="7"/>
      <c r="E379" s="7"/>
      <c r="F379" s="7"/>
      <c r="G379" s="7"/>
      <c r="H379" s="7"/>
      <c r="I379" s="7"/>
      <c r="J379" s="7"/>
      <c r="K379" s="7">
        <f t="shared" si="146"/>
        <v>0</v>
      </c>
    </row>
    <row r="380" spans="1:11" x14ac:dyDescent="0.25">
      <c r="A380" s="1" t="s">
        <v>3</v>
      </c>
      <c r="B380" s="7"/>
      <c r="C380" s="7"/>
      <c r="D380" s="7"/>
      <c r="E380" s="7"/>
      <c r="F380" s="7"/>
      <c r="G380" s="7"/>
      <c r="H380" s="7"/>
      <c r="I380" s="7"/>
      <c r="J380" s="7"/>
      <c r="K380" s="7">
        <f t="shared" si="146"/>
        <v>0</v>
      </c>
    </row>
    <row r="381" spans="1:11" x14ac:dyDescent="0.25">
      <c r="A381" s="1" t="s">
        <v>4</v>
      </c>
      <c r="B381" s="7"/>
      <c r="C381" s="7"/>
      <c r="D381" s="7"/>
      <c r="E381" s="7"/>
      <c r="F381" s="7"/>
      <c r="G381" s="7"/>
      <c r="H381" s="7"/>
      <c r="I381" s="7"/>
      <c r="J381" s="7"/>
      <c r="K381" s="7">
        <f t="shared" si="146"/>
        <v>0</v>
      </c>
    </row>
    <row r="382" spans="1:11" x14ac:dyDescent="0.25">
      <c r="A382" s="1" t="s">
        <v>5</v>
      </c>
      <c r="B382" s="7"/>
      <c r="C382" s="7"/>
      <c r="D382" s="7"/>
      <c r="E382" s="7"/>
      <c r="F382" s="7"/>
      <c r="G382" s="7"/>
      <c r="H382" s="7"/>
      <c r="I382" s="7"/>
      <c r="J382" s="7"/>
      <c r="K382" s="7">
        <f t="shared" si="146"/>
        <v>0</v>
      </c>
    </row>
    <row r="384" spans="1:11" x14ac:dyDescent="0.25">
      <c r="A384" s="2" t="s">
        <v>15</v>
      </c>
      <c r="B384" s="6"/>
      <c r="C384" s="6"/>
      <c r="D384" s="6"/>
      <c r="E384" s="6"/>
      <c r="F384" s="6"/>
      <c r="G384" s="6"/>
      <c r="H384" s="6"/>
      <c r="I384" s="6"/>
      <c r="J384" s="6"/>
      <c r="K384" s="6">
        <f t="shared" ref="K384:K386" si="154">IF(K377&gt;0,K378/K377,0)</f>
        <v>0</v>
      </c>
    </row>
    <row r="385" spans="1:11" x14ac:dyDescent="0.25">
      <c r="A385" s="2" t="s">
        <v>16</v>
      </c>
      <c r="B385" s="6"/>
      <c r="C385" s="6"/>
      <c r="D385" s="6"/>
      <c r="E385" s="6"/>
      <c r="F385" s="6"/>
      <c r="G385" s="6"/>
      <c r="H385" s="6"/>
      <c r="I385" s="6"/>
      <c r="J385" s="6"/>
      <c r="K385" s="6">
        <f t="shared" si="154"/>
        <v>0</v>
      </c>
    </row>
    <row r="386" spans="1:11" x14ac:dyDescent="0.25">
      <c r="A386" s="2" t="s">
        <v>17</v>
      </c>
      <c r="B386" s="6"/>
      <c r="C386" s="6"/>
      <c r="D386" s="6"/>
      <c r="E386" s="6"/>
      <c r="F386" s="6"/>
      <c r="G386" s="6"/>
      <c r="H386" s="6"/>
      <c r="I386" s="6"/>
      <c r="J386" s="6"/>
      <c r="K386" s="6">
        <f t="shared" si="154"/>
        <v>0</v>
      </c>
    </row>
    <row r="387" spans="1:11" x14ac:dyDescent="0.25">
      <c r="A387" s="2" t="s">
        <v>18</v>
      </c>
      <c r="B387" s="8"/>
      <c r="C387" s="8"/>
      <c r="D387" s="8"/>
      <c r="E387" s="8"/>
      <c r="F387" s="8"/>
      <c r="G387" s="8"/>
      <c r="H387" s="8"/>
      <c r="I387" s="8"/>
      <c r="J387" s="8"/>
      <c r="K387" s="8">
        <f t="shared" ref="K387:K389" si="155">IF(K377&gt;0,K$8/K377,0)</f>
        <v>0</v>
      </c>
    </row>
    <row r="388" spans="1:11" x14ac:dyDescent="0.25">
      <c r="A388" s="2" t="s">
        <v>19</v>
      </c>
      <c r="B388" s="8"/>
      <c r="C388" s="8"/>
      <c r="D388" s="8"/>
      <c r="E388" s="8"/>
      <c r="F388" s="8"/>
      <c r="G388" s="8"/>
      <c r="H388" s="8"/>
      <c r="I388" s="8"/>
      <c r="J388" s="8"/>
      <c r="K388" s="8">
        <f t="shared" si="155"/>
        <v>0</v>
      </c>
    </row>
    <row r="389" spans="1:11" x14ac:dyDescent="0.25">
      <c r="A389" s="2" t="s">
        <v>20</v>
      </c>
      <c r="B389" s="8"/>
      <c r="C389" s="8"/>
      <c r="D389" s="8"/>
      <c r="E389" s="8"/>
      <c r="F389" s="8"/>
      <c r="G389" s="8"/>
      <c r="H389" s="8"/>
      <c r="I389" s="8"/>
      <c r="J389" s="8"/>
      <c r="K389" s="8">
        <f t="shared" si="155"/>
        <v>0</v>
      </c>
    </row>
    <row r="390" spans="1:11" x14ac:dyDescent="0.25">
      <c r="A390" s="2" t="s">
        <v>22</v>
      </c>
      <c r="B390" s="8"/>
      <c r="C390" s="8"/>
      <c r="D390" s="8"/>
      <c r="E390" s="8"/>
      <c r="F390" s="8"/>
      <c r="G390" s="8"/>
      <c r="H390" s="8"/>
      <c r="I390" s="8"/>
      <c r="J390" s="8"/>
      <c r="K390" s="8">
        <f t="shared" ref="K390" si="156">IF(K380&gt;0,K381/K380,0)</f>
        <v>0</v>
      </c>
    </row>
    <row r="391" spans="1:11" x14ac:dyDescent="0.25">
      <c r="A391" s="2" t="s">
        <v>21</v>
      </c>
      <c r="B391" s="8"/>
      <c r="C391" s="8"/>
      <c r="D391" s="8"/>
      <c r="E391" s="8"/>
      <c r="F391" s="8"/>
      <c r="G391" s="8"/>
      <c r="H391" s="8"/>
      <c r="I391" s="8"/>
      <c r="J391" s="8"/>
      <c r="K391" s="8">
        <f t="shared" ref="K391" si="157">IF(K382&gt;0,(K381-K382)/K382,0)</f>
        <v>0</v>
      </c>
    </row>
    <row r="392" spans="1:11" x14ac:dyDescent="0.25">
      <c r="A392" s="2" t="s">
        <v>23</v>
      </c>
      <c r="B392" s="8"/>
      <c r="C392" s="8"/>
      <c r="D392" s="8"/>
      <c r="E392" s="8"/>
      <c r="F392" s="8"/>
      <c r="G392" s="8"/>
      <c r="H392" s="8"/>
      <c r="I392" s="8"/>
      <c r="J392" s="8"/>
      <c r="K392" s="8">
        <f t="shared" ref="K392" si="158">K381-K382</f>
        <v>0</v>
      </c>
    </row>
    <row r="393" spans="1:11" x14ac:dyDescent="0.25">
      <c r="A393" s="9" t="str">
        <f>VLOOKUP(INT((ROW()-1)/17)+1,Справочник!A:D,3,0)</f>
        <v>Июнь неделя 4 (20-3 июн.)</v>
      </c>
      <c r="B393" s="9">
        <f t="shared" ref="B393" si="159">B$2</f>
        <v>0</v>
      </c>
      <c r="C393" s="9">
        <f t="shared" si="152"/>
        <v>0</v>
      </c>
      <c r="D393" s="9">
        <f t="shared" si="152"/>
        <v>0</v>
      </c>
      <c r="E393" s="9">
        <f t="shared" si="152"/>
        <v>0</v>
      </c>
      <c r="F393" s="9">
        <f t="shared" si="152"/>
        <v>0</v>
      </c>
      <c r="G393" s="9">
        <f t="shared" si="152"/>
        <v>0</v>
      </c>
      <c r="H393" s="9">
        <f t="shared" si="152"/>
        <v>0</v>
      </c>
      <c r="I393" s="9">
        <f t="shared" si="152"/>
        <v>0</v>
      </c>
      <c r="J393" s="9">
        <f t="shared" si="152"/>
        <v>0</v>
      </c>
      <c r="K393" s="9">
        <f>'Учет данных'!K395</f>
        <v>0</v>
      </c>
    </row>
    <row r="394" spans="1:11" x14ac:dyDescent="0.25">
      <c r="A394" s="1" t="s">
        <v>0</v>
      </c>
      <c r="B394" s="7"/>
      <c r="C394" s="7"/>
      <c r="D394" s="7"/>
      <c r="E394" s="7"/>
      <c r="F394" s="7"/>
      <c r="G394" s="7"/>
      <c r="H394" s="7"/>
      <c r="I394" s="7"/>
      <c r="J394" s="7"/>
      <c r="K394" s="7">
        <f t="shared" ref="K394" si="160">SUM(B394:J394)</f>
        <v>0</v>
      </c>
    </row>
    <row r="395" spans="1:11" x14ac:dyDescent="0.25">
      <c r="A395" s="1" t="s">
        <v>1</v>
      </c>
      <c r="B395" s="7"/>
      <c r="C395" s="7"/>
      <c r="D395" s="7"/>
      <c r="E395" s="7"/>
      <c r="F395" s="7"/>
      <c r="G395" s="7"/>
      <c r="H395" s="7"/>
      <c r="I395" s="7"/>
      <c r="J395" s="7"/>
      <c r="K395" s="7">
        <f t="shared" si="146"/>
        <v>0</v>
      </c>
    </row>
    <row r="396" spans="1:11" x14ac:dyDescent="0.25">
      <c r="A396" s="1" t="s">
        <v>2</v>
      </c>
      <c r="B396" s="7"/>
      <c r="C396" s="7"/>
      <c r="D396" s="7"/>
      <c r="E396" s="7"/>
      <c r="F396" s="7"/>
      <c r="G396" s="7"/>
      <c r="H396" s="7"/>
      <c r="I396" s="7"/>
      <c r="J396" s="7"/>
      <c r="K396" s="7">
        <f t="shared" si="146"/>
        <v>0</v>
      </c>
    </row>
    <row r="397" spans="1:11" x14ac:dyDescent="0.25">
      <c r="A397" s="1" t="s">
        <v>3</v>
      </c>
      <c r="B397" s="7"/>
      <c r="C397" s="7"/>
      <c r="D397" s="7"/>
      <c r="E397" s="7"/>
      <c r="F397" s="7"/>
      <c r="G397" s="7"/>
      <c r="H397" s="7"/>
      <c r="I397" s="7"/>
      <c r="J397" s="7"/>
      <c r="K397" s="7">
        <f t="shared" si="146"/>
        <v>0</v>
      </c>
    </row>
    <row r="398" spans="1:11" x14ac:dyDescent="0.25">
      <c r="A398" s="1" t="s">
        <v>4</v>
      </c>
      <c r="B398" s="7"/>
      <c r="C398" s="7"/>
      <c r="D398" s="7"/>
      <c r="E398" s="7"/>
      <c r="F398" s="7"/>
      <c r="G398" s="7"/>
      <c r="H398" s="7"/>
      <c r="I398" s="7"/>
      <c r="J398" s="7"/>
      <c r="K398" s="7">
        <f t="shared" si="146"/>
        <v>0</v>
      </c>
    </row>
    <row r="399" spans="1:11" x14ac:dyDescent="0.25">
      <c r="A399" s="1" t="s">
        <v>5</v>
      </c>
      <c r="B399" s="7"/>
      <c r="C399" s="7"/>
      <c r="D399" s="7"/>
      <c r="E399" s="7"/>
      <c r="F399" s="7"/>
      <c r="G399" s="7"/>
      <c r="H399" s="7"/>
      <c r="I399" s="7"/>
      <c r="J399" s="7"/>
      <c r="K399" s="7">
        <f t="shared" si="146"/>
        <v>0</v>
      </c>
    </row>
    <row r="401" spans="1:11" x14ac:dyDescent="0.25">
      <c r="A401" s="2" t="s">
        <v>15</v>
      </c>
      <c r="B401" s="6"/>
      <c r="C401" s="6"/>
      <c r="D401" s="6"/>
      <c r="E401" s="6"/>
      <c r="F401" s="6"/>
      <c r="G401" s="6"/>
      <c r="H401" s="6"/>
      <c r="I401" s="6"/>
      <c r="J401" s="6"/>
      <c r="K401" s="6">
        <f t="shared" ref="K401:K403" si="161">IF(K394&gt;0,K395/K394,0)</f>
        <v>0</v>
      </c>
    </row>
    <row r="402" spans="1:11" x14ac:dyDescent="0.25">
      <c r="A402" s="2" t="s">
        <v>16</v>
      </c>
      <c r="B402" s="6"/>
      <c r="C402" s="6"/>
      <c r="D402" s="6"/>
      <c r="E402" s="6"/>
      <c r="F402" s="6"/>
      <c r="G402" s="6"/>
      <c r="H402" s="6"/>
      <c r="I402" s="6"/>
      <c r="J402" s="6"/>
      <c r="K402" s="6">
        <f t="shared" si="161"/>
        <v>0</v>
      </c>
    </row>
    <row r="403" spans="1:11" x14ac:dyDescent="0.25">
      <c r="A403" s="2" t="s">
        <v>17</v>
      </c>
      <c r="B403" s="6"/>
      <c r="C403" s="6"/>
      <c r="D403" s="6"/>
      <c r="E403" s="6"/>
      <c r="F403" s="6"/>
      <c r="G403" s="6"/>
      <c r="H403" s="6"/>
      <c r="I403" s="6"/>
      <c r="J403" s="6"/>
      <c r="K403" s="6">
        <f t="shared" si="161"/>
        <v>0</v>
      </c>
    </row>
    <row r="404" spans="1:11" x14ac:dyDescent="0.25">
      <c r="A404" s="2" t="s">
        <v>18</v>
      </c>
      <c r="B404" s="8"/>
      <c r="C404" s="8"/>
      <c r="D404" s="8"/>
      <c r="E404" s="8"/>
      <c r="F404" s="8"/>
      <c r="G404" s="8"/>
      <c r="H404" s="8"/>
      <c r="I404" s="8"/>
      <c r="J404" s="8"/>
      <c r="K404" s="8">
        <f t="shared" ref="K404:K406" si="162">IF(K394&gt;0,K$8/K394,0)</f>
        <v>0</v>
      </c>
    </row>
    <row r="405" spans="1:11" x14ac:dyDescent="0.25">
      <c r="A405" s="2" t="s">
        <v>19</v>
      </c>
      <c r="B405" s="8"/>
      <c r="C405" s="8"/>
      <c r="D405" s="8"/>
      <c r="E405" s="8"/>
      <c r="F405" s="8"/>
      <c r="G405" s="8"/>
      <c r="H405" s="8"/>
      <c r="I405" s="8"/>
      <c r="J405" s="8"/>
      <c r="K405" s="8">
        <f t="shared" si="162"/>
        <v>0</v>
      </c>
    </row>
    <row r="406" spans="1:11" x14ac:dyDescent="0.25">
      <c r="A406" s="2" t="s">
        <v>20</v>
      </c>
      <c r="B406" s="8"/>
      <c r="C406" s="8"/>
      <c r="D406" s="8"/>
      <c r="E406" s="8"/>
      <c r="F406" s="8"/>
      <c r="G406" s="8"/>
      <c r="H406" s="8"/>
      <c r="I406" s="8"/>
      <c r="J406" s="8"/>
      <c r="K406" s="8">
        <f t="shared" si="162"/>
        <v>0</v>
      </c>
    </row>
    <row r="407" spans="1:11" x14ac:dyDescent="0.25">
      <c r="A407" s="2" t="s">
        <v>22</v>
      </c>
      <c r="B407" s="8"/>
      <c r="C407" s="8"/>
      <c r="D407" s="8"/>
      <c r="E407" s="8"/>
      <c r="F407" s="8"/>
      <c r="G407" s="8"/>
      <c r="H407" s="8"/>
      <c r="I407" s="8"/>
      <c r="J407" s="8"/>
      <c r="K407" s="8">
        <f t="shared" ref="K407" si="163">IF(K397&gt;0,K398/K397,0)</f>
        <v>0</v>
      </c>
    </row>
    <row r="408" spans="1:11" x14ac:dyDescent="0.25">
      <c r="A408" s="2" t="s">
        <v>21</v>
      </c>
      <c r="B408" s="8"/>
      <c r="C408" s="8"/>
      <c r="D408" s="8"/>
      <c r="E408" s="8"/>
      <c r="F408" s="8"/>
      <c r="G408" s="8"/>
      <c r="H408" s="8"/>
      <c r="I408" s="8"/>
      <c r="J408" s="8"/>
      <c r="K408" s="8">
        <f t="shared" ref="K408" si="164">IF(K399&gt;0,(K398-K399)/K399,0)</f>
        <v>0</v>
      </c>
    </row>
    <row r="409" spans="1:11" x14ac:dyDescent="0.25">
      <c r="A409" s="2" t="s">
        <v>23</v>
      </c>
      <c r="B409" s="8"/>
      <c r="C409" s="8"/>
      <c r="D409" s="8"/>
      <c r="E409" s="8"/>
      <c r="F409" s="8"/>
      <c r="G409" s="8"/>
      <c r="H409" s="8"/>
      <c r="I409" s="8"/>
      <c r="J409" s="8"/>
      <c r="K409" s="8">
        <f t="shared" ref="K409" si="165">K398-K399</f>
        <v>0</v>
      </c>
    </row>
    <row r="410" spans="1:11" x14ac:dyDescent="0.25">
      <c r="A410" s="9" t="str">
        <f>VLOOKUP(INT((ROW()-1)/17)+1,Справочник!A:D,3,0)</f>
        <v>Июль неделя 1 (01-10 июл.)</v>
      </c>
      <c r="B410" s="9">
        <f t="shared" ref="B410" si="166">B$2</f>
        <v>0</v>
      </c>
      <c r="C410" s="9">
        <f t="shared" si="152"/>
        <v>0</v>
      </c>
      <c r="D410" s="9">
        <f t="shared" si="152"/>
        <v>0</v>
      </c>
      <c r="E410" s="9">
        <f t="shared" si="152"/>
        <v>0</v>
      </c>
      <c r="F410" s="9">
        <f t="shared" si="152"/>
        <v>0</v>
      </c>
      <c r="G410" s="9">
        <f t="shared" si="152"/>
        <v>0</v>
      </c>
      <c r="H410" s="9">
        <f t="shared" si="152"/>
        <v>0</v>
      </c>
      <c r="I410" s="9">
        <f t="shared" si="152"/>
        <v>0</v>
      </c>
      <c r="J410" s="9">
        <f t="shared" si="152"/>
        <v>0</v>
      </c>
      <c r="K410" s="9">
        <f>'Учет данных'!K412</f>
        <v>0</v>
      </c>
    </row>
    <row r="411" spans="1:11" x14ac:dyDescent="0.25">
      <c r="A411" s="1" t="s">
        <v>0</v>
      </c>
      <c r="B411" s="7"/>
      <c r="C411" s="7"/>
      <c r="D411" s="7"/>
      <c r="E411" s="7"/>
      <c r="F411" s="7"/>
      <c r="G411" s="7"/>
      <c r="H411" s="7"/>
      <c r="I411" s="7"/>
      <c r="J411" s="7"/>
      <c r="K411" s="7">
        <f t="shared" ref="K411" si="167">SUM(B411:J411)</f>
        <v>0</v>
      </c>
    </row>
    <row r="412" spans="1:11" x14ac:dyDescent="0.25">
      <c r="A412" s="1" t="s">
        <v>1</v>
      </c>
      <c r="B412" s="7"/>
      <c r="C412" s="7"/>
      <c r="D412" s="7"/>
      <c r="E412" s="7"/>
      <c r="F412" s="7"/>
      <c r="G412" s="7"/>
      <c r="H412" s="7"/>
      <c r="I412" s="7"/>
      <c r="J412" s="7"/>
      <c r="K412" s="7">
        <f t="shared" si="146"/>
        <v>0</v>
      </c>
    </row>
    <row r="413" spans="1:11" x14ac:dyDescent="0.25">
      <c r="A413" s="1" t="s">
        <v>2</v>
      </c>
      <c r="B413" s="7"/>
      <c r="C413" s="7"/>
      <c r="D413" s="7"/>
      <c r="E413" s="7"/>
      <c r="F413" s="7"/>
      <c r="G413" s="7"/>
      <c r="H413" s="7"/>
      <c r="I413" s="7"/>
      <c r="J413" s="7"/>
      <c r="K413" s="7">
        <f t="shared" si="146"/>
        <v>0</v>
      </c>
    </row>
    <row r="414" spans="1:11" x14ac:dyDescent="0.25">
      <c r="A414" s="1" t="s">
        <v>3</v>
      </c>
      <c r="B414" s="7"/>
      <c r="C414" s="7"/>
      <c r="D414" s="7"/>
      <c r="E414" s="7"/>
      <c r="F414" s="7"/>
      <c r="G414" s="7"/>
      <c r="H414" s="7"/>
      <c r="I414" s="7"/>
      <c r="J414" s="7"/>
      <c r="K414" s="7">
        <f t="shared" si="146"/>
        <v>0</v>
      </c>
    </row>
    <row r="415" spans="1:11" x14ac:dyDescent="0.25">
      <c r="A415" s="1" t="s">
        <v>4</v>
      </c>
      <c r="B415" s="7"/>
      <c r="C415" s="7"/>
      <c r="D415" s="7"/>
      <c r="E415" s="7"/>
      <c r="F415" s="7"/>
      <c r="G415" s="7"/>
      <c r="H415" s="7"/>
      <c r="I415" s="7"/>
      <c r="J415" s="7"/>
      <c r="K415" s="7">
        <f t="shared" si="146"/>
        <v>0</v>
      </c>
    </row>
    <row r="416" spans="1:11" x14ac:dyDescent="0.25">
      <c r="A416" s="1" t="s">
        <v>5</v>
      </c>
      <c r="B416" s="7"/>
      <c r="C416" s="7"/>
      <c r="D416" s="7"/>
      <c r="E416" s="7"/>
      <c r="F416" s="7"/>
      <c r="G416" s="7"/>
      <c r="H416" s="7"/>
      <c r="I416" s="7"/>
      <c r="J416" s="7"/>
      <c r="K416" s="7">
        <f t="shared" si="146"/>
        <v>0</v>
      </c>
    </row>
    <row r="418" spans="1:11" x14ac:dyDescent="0.25">
      <c r="A418" s="2" t="s">
        <v>15</v>
      </c>
      <c r="B418" s="6"/>
      <c r="C418" s="6"/>
      <c r="D418" s="6"/>
      <c r="E418" s="6"/>
      <c r="F418" s="6"/>
      <c r="G418" s="6"/>
      <c r="H418" s="6"/>
      <c r="I418" s="6"/>
      <c r="J418" s="6"/>
      <c r="K418" s="6">
        <f t="shared" ref="K418:K420" si="168">IF(K411&gt;0,K412/K411,0)</f>
        <v>0</v>
      </c>
    </row>
    <row r="419" spans="1:11" x14ac:dyDescent="0.25">
      <c r="A419" s="2" t="s">
        <v>16</v>
      </c>
      <c r="B419" s="6"/>
      <c r="C419" s="6"/>
      <c r="D419" s="6"/>
      <c r="E419" s="6"/>
      <c r="F419" s="6"/>
      <c r="G419" s="6"/>
      <c r="H419" s="6"/>
      <c r="I419" s="6"/>
      <c r="J419" s="6"/>
      <c r="K419" s="6">
        <f t="shared" si="168"/>
        <v>0</v>
      </c>
    </row>
    <row r="420" spans="1:11" x14ac:dyDescent="0.25">
      <c r="A420" s="2" t="s">
        <v>17</v>
      </c>
      <c r="B420" s="6"/>
      <c r="C420" s="6"/>
      <c r="D420" s="6"/>
      <c r="E420" s="6"/>
      <c r="F420" s="6"/>
      <c r="G420" s="6"/>
      <c r="H420" s="6"/>
      <c r="I420" s="6"/>
      <c r="J420" s="6"/>
      <c r="K420" s="6">
        <f t="shared" si="168"/>
        <v>0</v>
      </c>
    </row>
    <row r="421" spans="1:11" x14ac:dyDescent="0.25">
      <c r="A421" s="2" t="s">
        <v>18</v>
      </c>
      <c r="B421" s="8"/>
      <c r="C421" s="8"/>
      <c r="D421" s="8"/>
      <c r="E421" s="8"/>
      <c r="F421" s="8"/>
      <c r="G421" s="8"/>
      <c r="H421" s="8"/>
      <c r="I421" s="8"/>
      <c r="J421" s="8"/>
      <c r="K421" s="8">
        <f t="shared" ref="K421:K423" si="169">IF(K411&gt;0,K$8/K411,0)</f>
        <v>0</v>
      </c>
    </row>
    <row r="422" spans="1:11" x14ac:dyDescent="0.25">
      <c r="A422" s="2" t="s">
        <v>19</v>
      </c>
      <c r="B422" s="8"/>
      <c r="C422" s="8"/>
      <c r="D422" s="8"/>
      <c r="E422" s="8"/>
      <c r="F422" s="8"/>
      <c r="G422" s="8"/>
      <c r="H422" s="8"/>
      <c r="I422" s="8"/>
      <c r="J422" s="8"/>
      <c r="K422" s="8">
        <f t="shared" si="169"/>
        <v>0</v>
      </c>
    </row>
    <row r="423" spans="1:11" x14ac:dyDescent="0.25">
      <c r="A423" s="2" t="s">
        <v>20</v>
      </c>
      <c r="B423" s="8"/>
      <c r="C423" s="8"/>
      <c r="D423" s="8"/>
      <c r="E423" s="8"/>
      <c r="F423" s="8"/>
      <c r="G423" s="8"/>
      <c r="H423" s="8"/>
      <c r="I423" s="8"/>
      <c r="J423" s="8"/>
      <c r="K423" s="8">
        <f t="shared" si="169"/>
        <v>0</v>
      </c>
    </row>
    <row r="424" spans="1:11" x14ac:dyDescent="0.25">
      <c r="A424" s="2" t="s">
        <v>22</v>
      </c>
      <c r="B424" s="8"/>
      <c r="C424" s="8"/>
      <c r="D424" s="8"/>
      <c r="E424" s="8"/>
      <c r="F424" s="8"/>
      <c r="G424" s="8"/>
      <c r="H424" s="8"/>
      <c r="I424" s="8"/>
      <c r="J424" s="8"/>
      <c r="K424" s="8">
        <f t="shared" ref="K424" si="170">IF(K414&gt;0,K415/K414,0)</f>
        <v>0</v>
      </c>
    </row>
    <row r="425" spans="1:11" x14ac:dyDescent="0.25">
      <c r="A425" s="2" t="s">
        <v>21</v>
      </c>
      <c r="B425" s="8"/>
      <c r="C425" s="8"/>
      <c r="D425" s="8"/>
      <c r="E425" s="8"/>
      <c r="F425" s="8"/>
      <c r="G425" s="8"/>
      <c r="H425" s="8"/>
      <c r="I425" s="8"/>
      <c r="J425" s="8"/>
      <c r="K425" s="8">
        <f t="shared" ref="K425" si="171">IF(K416&gt;0,(K415-K416)/K416,0)</f>
        <v>0</v>
      </c>
    </row>
    <row r="426" spans="1:11" x14ac:dyDescent="0.25">
      <c r="A426" s="2" t="s">
        <v>23</v>
      </c>
      <c r="B426" s="8"/>
      <c r="C426" s="8"/>
      <c r="D426" s="8"/>
      <c r="E426" s="8"/>
      <c r="F426" s="8"/>
      <c r="G426" s="8"/>
      <c r="H426" s="8"/>
      <c r="I426" s="8"/>
      <c r="J426" s="8"/>
      <c r="K426" s="8">
        <f t="shared" ref="K426" si="172">K415-K416</f>
        <v>0</v>
      </c>
    </row>
    <row r="427" spans="1:11" x14ac:dyDescent="0.25">
      <c r="A427" s="9" t="str">
        <f>VLOOKUP(INT((ROW()-1)/17)+1,Справочник!A:D,3,0)</f>
        <v>Июль неделя 2 (11-17 июл.)</v>
      </c>
      <c r="B427" s="9">
        <f t="shared" ref="B427" si="173">B$2</f>
        <v>0</v>
      </c>
      <c r="C427" s="9">
        <f t="shared" si="152"/>
        <v>0</v>
      </c>
      <c r="D427" s="9">
        <f t="shared" si="152"/>
        <v>0</v>
      </c>
      <c r="E427" s="9">
        <f t="shared" si="152"/>
        <v>0</v>
      </c>
      <c r="F427" s="9">
        <f t="shared" si="152"/>
        <v>0</v>
      </c>
      <c r="G427" s="9">
        <f t="shared" si="152"/>
        <v>0</v>
      </c>
      <c r="H427" s="9">
        <f t="shared" si="152"/>
        <v>0</v>
      </c>
      <c r="I427" s="9">
        <f t="shared" si="152"/>
        <v>0</v>
      </c>
      <c r="J427" s="9">
        <f t="shared" si="152"/>
        <v>0</v>
      </c>
      <c r="K427" s="9">
        <f>'Учет данных'!K429</f>
        <v>0</v>
      </c>
    </row>
    <row r="428" spans="1:11" x14ac:dyDescent="0.25">
      <c r="A428" s="1" t="s">
        <v>0</v>
      </c>
      <c r="B428" s="7"/>
      <c r="C428" s="7"/>
      <c r="D428" s="7"/>
      <c r="E428" s="7"/>
      <c r="F428" s="7"/>
      <c r="G428" s="7"/>
      <c r="H428" s="7"/>
      <c r="I428" s="7"/>
      <c r="J428" s="7"/>
      <c r="K428" s="7">
        <f t="shared" ref="K428" si="174">SUM(B428:J428)</f>
        <v>0</v>
      </c>
    </row>
    <row r="429" spans="1:11" x14ac:dyDescent="0.25">
      <c r="A429" s="1" t="s">
        <v>1</v>
      </c>
      <c r="B429" s="7"/>
      <c r="C429" s="7"/>
      <c r="D429" s="7"/>
      <c r="E429" s="7"/>
      <c r="F429" s="7"/>
      <c r="G429" s="7"/>
      <c r="H429" s="7"/>
      <c r="I429" s="7"/>
      <c r="J429" s="7"/>
      <c r="K429" s="7">
        <f t="shared" ref="K429:K484" si="175">SUM(B429:J429)</f>
        <v>0</v>
      </c>
    </row>
    <row r="430" spans="1:11" x14ac:dyDescent="0.25">
      <c r="A430" s="1" t="s">
        <v>2</v>
      </c>
      <c r="B430" s="7"/>
      <c r="C430" s="7"/>
      <c r="D430" s="7"/>
      <c r="E430" s="7"/>
      <c r="F430" s="7"/>
      <c r="G430" s="7"/>
      <c r="H430" s="7"/>
      <c r="I430" s="7"/>
      <c r="J430" s="7"/>
      <c r="K430" s="7">
        <f t="shared" si="175"/>
        <v>0</v>
      </c>
    </row>
    <row r="431" spans="1:11" x14ac:dyDescent="0.25">
      <c r="A431" s="1" t="s">
        <v>3</v>
      </c>
      <c r="B431" s="7"/>
      <c r="C431" s="7"/>
      <c r="D431" s="7"/>
      <c r="E431" s="7"/>
      <c r="F431" s="7"/>
      <c r="G431" s="7"/>
      <c r="H431" s="7"/>
      <c r="I431" s="7"/>
      <c r="J431" s="7"/>
      <c r="K431" s="7">
        <f t="shared" si="175"/>
        <v>0</v>
      </c>
    </row>
    <row r="432" spans="1:11" x14ac:dyDescent="0.25">
      <c r="A432" s="1" t="s">
        <v>4</v>
      </c>
      <c r="B432" s="7"/>
      <c r="C432" s="7"/>
      <c r="D432" s="7"/>
      <c r="E432" s="7"/>
      <c r="F432" s="7"/>
      <c r="G432" s="7"/>
      <c r="H432" s="7"/>
      <c r="I432" s="7"/>
      <c r="J432" s="7"/>
      <c r="K432" s="7">
        <f t="shared" si="175"/>
        <v>0</v>
      </c>
    </row>
    <row r="433" spans="1:11" x14ac:dyDescent="0.25">
      <c r="A433" s="1" t="s">
        <v>5</v>
      </c>
      <c r="B433" s="7"/>
      <c r="C433" s="7"/>
      <c r="D433" s="7"/>
      <c r="E433" s="7"/>
      <c r="F433" s="7"/>
      <c r="G433" s="7"/>
      <c r="H433" s="7"/>
      <c r="I433" s="7"/>
      <c r="J433" s="7"/>
      <c r="K433" s="7">
        <f t="shared" si="175"/>
        <v>0</v>
      </c>
    </row>
    <row r="435" spans="1:11" x14ac:dyDescent="0.25">
      <c r="A435" s="2" t="s">
        <v>15</v>
      </c>
      <c r="B435" s="6"/>
      <c r="C435" s="6"/>
      <c r="D435" s="6"/>
      <c r="E435" s="6"/>
      <c r="F435" s="6"/>
      <c r="G435" s="6"/>
      <c r="H435" s="6"/>
      <c r="I435" s="6"/>
      <c r="J435" s="6"/>
      <c r="K435" s="6">
        <f t="shared" ref="K435:K437" si="176">IF(K428&gt;0,K429/K428,0)</f>
        <v>0</v>
      </c>
    </row>
    <row r="436" spans="1:11" x14ac:dyDescent="0.25">
      <c r="A436" s="2" t="s">
        <v>16</v>
      </c>
      <c r="B436" s="6"/>
      <c r="C436" s="6"/>
      <c r="D436" s="6"/>
      <c r="E436" s="6"/>
      <c r="F436" s="6"/>
      <c r="G436" s="6"/>
      <c r="H436" s="6"/>
      <c r="I436" s="6"/>
      <c r="J436" s="6"/>
      <c r="K436" s="6">
        <f t="shared" si="176"/>
        <v>0</v>
      </c>
    </row>
    <row r="437" spans="1:11" x14ac:dyDescent="0.25">
      <c r="A437" s="2" t="s">
        <v>17</v>
      </c>
      <c r="B437" s="6"/>
      <c r="C437" s="6"/>
      <c r="D437" s="6"/>
      <c r="E437" s="6"/>
      <c r="F437" s="6"/>
      <c r="G437" s="6"/>
      <c r="H437" s="6"/>
      <c r="I437" s="6"/>
      <c r="J437" s="6"/>
      <c r="K437" s="6">
        <f t="shared" si="176"/>
        <v>0</v>
      </c>
    </row>
    <row r="438" spans="1:11" x14ac:dyDescent="0.25">
      <c r="A438" s="2" t="s">
        <v>18</v>
      </c>
      <c r="B438" s="8"/>
      <c r="C438" s="8"/>
      <c r="D438" s="8"/>
      <c r="E438" s="8"/>
      <c r="F438" s="8"/>
      <c r="G438" s="8"/>
      <c r="H438" s="8"/>
      <c r="I438" s="8"/>
      <c r="J438" s="8"/>
      <c r="K438" s="8">
        <f t="shared" ref="K438:K440" si="177">IF(K428&gt;0,K$8/K428,0)</f>
        <v>0</v>
      </c>
    </row>
    <row r="439" spans="1:11" x14ac:dyDescent="0.25">
      <c r="A439" s="2" t="s">
        <v>19</v>
      </c>
      <c r="B439" s="8"/>
      <c r="C439" s="8"/>
      <c r="D439" s="8"/>
      <c r="E439" s="8"/>
      <c r="F439" s="8"/>
      <c r="G439" s="8"/>
      <c r="H439" s="8"/>
      <c r="I439" s="8"/>
      <c r="J439" s="8"/>
      <c r="K439" s="8">
        <f t="shared" si="177"/>
        <v>0</v>
      </c>
    </row>
    <row r="440" spans="1:11" x14ac:dyDescent="0.25">
      <c r="A440" s="2" t="s">
        <v>20</v>
      </c>
      <c r="B440" s="8"/>
      <c r="C440" s="8"/>
      <c r="D440" s="8"/>
      <c r="E440" s="8"/>
      <c r="F440" s="8"/>
      <c r="G440" s="8"/>
      <c r="H440" s="8"/>
      <c r="I440" s="8"/>
      <c r="J440" s="8"/>
      <c r="K440" s="8">
        <f t="shared" si="177"/>
        <v>0</v>
      </c>
    </row>
    <row r="441" spans="1:11" x14ac:dyDescent="0.25">
      <c r="A441" s="2" t="s">
        <v>22</v>
      </c>
      <c r="B441" s="8"/>
      <c r="C441" s="8"/>
      <c r="D441" s="8"/>
      <c r="E441" s="8"/>
      <c r="F441" s="8"/>
      <c r="G441" s="8"/>
      <c r="H441" s="8"/>
      <c r="I441" s="8"/>
      <c r="J441" s="8"/>
      <c r="K441" s="8">
        <f t="shared" ref="K441" si="178">IF(K431&gt;0,K432/K431,0)</f>
        <v>0</v>
      </c>
    </row>
    <row r="442" spans="1:11" x14ac:dyDescent="0.25">
      <c r="A442" s="2" t="s">
        <v>21</v>
      </c>
      <c r="B442" s="8"/>
      <c r="C442" s="8"/>
      <c r="D442" s="8"/>
      <c r="E442" s="8"/>
      <c r="F442" s="8"/>
      <c r="G442" s="8"/>
      <c r="H442" s="8"/>
      <c r="I442" s="8"/>
      <c r="J442" s="8"/>
      <c r="K442" s="8">
        <f t="shared" ref="K442" si="179">IF(K433&gt;0,(K432-K433)/K433,0)</f>
        <v>0</v>
      </c>
    </row>
    <row r="443" spans="1:11" x14ac:dyDescent="0.25">
      <c r="A443" s="2" t="s">
        <v>23</v>
      </c>
      <c r="B443" s="8"/>
      <c r="C443" s="8"/>
      <c r="D443" s="8"/>
      <c r="E443" s="8"/>
      <c r="F443" s="8"/>
      <c r="G443" s="8"/>
      <c r="H443" s="8"/>
      <c r="I443" s="8"/>
      <c r="J443" s="8"/>
      <c r="K443" s="8">
        <f t="shared" ref="K443" si="180">K432-K433</f>
        <v>0</v>
      </c>
    </row>
    <row r="444" spans="1:11" x14ac:dyDescent="0.25">
      <c r="A444" s="9" t="str">
        <f>VLOOKUP(INT((ROW()-1)/17)+1,Справочник!A:D,3,0)</f>
        <v>Июль неделя 3 (18-24 июл.)</v>
      </c>
      <c r="B444" s="9">
        <f t="shared" ref="B444:J495" si="181">B$2</f>
        <v>0</v>
      </c>
      <c r="C444" s="9">
        <f t="shared" si="181"/>
        <v>0</v>
      </c>
      <c r="D444" s="9">
        <f t="shared" si="181"/>
        <v>0</v>
      </c>
      <c r="E444" s="9">
        <f t="shared" si="181"/>
        <v>0</v>
      </c>
      <c r="F444" s="9">
        <f t="shared" si="181"/>
        <v>0</v>
      </c>
      <c r="G444" s="9">
        <f t="shared" si="181"/>
        <v>0</v>
      </c>
      <c r="H444" s="9">
        <f t="shared" si="181"/>
        <v>0</v>
      </c>
      <c r="I444" s="9">
        <f t="shared" si="181"/>
        <v>0</v>
      </c>
      <c r="J444" s="9">
        <f t="shared" si="181"/>
        <v>0</v>
      </c>
      <c r="K444" s="9">
        <f>'Учет данных'!K446</f>
        <v>0</v>
      </c>
    </row>
    <row r="445" spans="1:11" x14ac:dyDescent="0.25">
      <c r="A445" s="1" t="s">
        <v>0</v>
      </c>
      <c r="B445" s="7"/>
      <c r="C445" s="7"/>
      <c r="D445" s="7"/>
      <c r="E445" s="7"/>
      <c r="F445" s="7"/>
      <c r="G445" s="7"/>
      <c r="H445" s="7"/>
      <c r="I445" s="7"/>
      <c r="J445" s="7"/>
      <c r="K445" s="7">
        <f t="shared" ref="K445" si="182">SUM(B445:J445)</f>
        <v>0</v>
      </c>
    </row>
    <row r="446" spans="1:11" x14ac:dyDescent="0.25">
      <c r="A446" s="1" t="s">
        <v>1</v>
      </c>
      <c r="B446" s="7"/>
      <c r="C446" s="7"/>
      <c r="D446" s="7"/>
      <c r="E446" s="7"/>
      <c r="F446" s="7"/>
      <c r="G446" s="7"/>
      <c r="H446" s="7"/>
      <c r="I446" s="7"/>
      <c r="J446" s="7"/>
      <c r="K446" s="7">
        <f t="shared" si="175"/>
        <v>0</v>
      </c>
    </row>
    <row r="447" spans="1:11" x14ac:dyDescent="0.25">
      <c r="A447" s="1" t="s">
        <v>2</v>
      </c>
      <c r="B447" s="7"/>
      <c r="C447" s="7"/>
      <c r="D447" s="7"/>
      <c r="E447" s="7"/>
      <c r="F447" s="7"/>
      <c r="G447" s="7"/>
      <c r="H447" s="7"/>
      <c r="I447" s="7"/>
      <c r="J447" s="7"/>
      <c r="K447" s="7">
        <f t="shared" si="175"/>
        <v>0</v>
      </c>
    </row>
    <row r="448" spans="1:11" x14ac:dyDescent="0.25">
      <c r="A448" s="1" t="s">
        <v>3</v>
      </c>
      <c r="B448" s="7"/>
      <c r="C448" s="7"/>
      <c r="D448" s="7"/>
      <c r="E448" s="7"/>
      <c r="F448" s="7"/>
      <c r="G448" s="7"/>
      <c r="H448" s="7"/>
      <c r="I448" s="7"/>
      <c r="J448" s="7"/>
      <c r="K448" s="7">
        <f t="shared" si="175"/>
        <v>0</v>
      </c>
    </row>
    <row r="449" spans="1:11" x14ac:dyDescent="0.25">
      <c r="A449" s="1" t="s">
        <v>4</v>
      </c>
      <c r="B449" s="7"/>
      <c r="C449" s="7"/>
      <c r="D449" s="7"/>
      <c r="E449" s="7"/>
      <c r="F449" s="7"/>
      <c r="G449" s="7"/>
      <c r="H449" s="7"/>
      <c r="I449" s="7"/>
      <c r="J449" s="7"/>
      <c r="K449" s="7">
        <f t="shared" si="175"/>
        <v>0</v>
      </c>
    </row>
    <row r="450" spans="1:11" x14ac:dyDescent="0.25">
      <c r="A450" s="1" t="s">
        <v>5</v>
      </c>
      <c r="B450" s="7"/>
      <c r="C450" s="7"/>
      <c r="D450" s="7"/>
      <c r="E450" s="7"/>
      <c r="F450" s="7"/>
      <c r="G450" s="7"/>
      <c r="H450" s="7"/>
      <c r="I450" s="7"/>
      <c r="J450" s="7"/>
      <c r="K450" s="7">
        <f t="shared" si="175"/>
        <v>0</v>
      </c>
    </row>
    <row r="452" spans="1:11" x14ac:dyDescent="0.25">
      <c r="A452" s="2" t="s">
        <v>15</v>
      </c>
      <c r="B452" s="6"/>
      <c r="C452" s="6"/>
      <c r="D452" s="6"/>
      <c r="E452" s="6"/>
      <c r="F452" s="6"/>
      <c r="G452" s="6"/>
      <c r="H452" s="6"/>
      <c r="I452" s="6"/>
      <c r="J452" s="6"/>
      <c r="K452" s="6">
        <f t="shared" ref="K452:K454" si="183">IF(K445&gt;0,K446/K445,0)</f>
        <v>0</v>
      </c>
    </row>
    <row r="453" spans="1:11" x14ac:dyDescent="0.25">
      <c r="A453" s="2" t="s">
        <v>16</v>
      </c>
      <c r="B453" s="6"/>
      <c r="C453" s="6"/>
      <c r="D453" s="6"/>
      <c r="E453" s="6"/>
      <c r="F453" s="6"/>
      <c r="G453" s="6"/>
      <c r="H453" s="6"/>
      <c r="I453" s="6"/>
      <c r="J453" s="6"/>
      <c r="K453" s="6">
        <f t="shared" si="183"/>
        <v>0</v>
      </c>
    </row>
    <row r="454" spans="1:11" x14ac:dyDescent="0.25">
      <c r="A454" s="2" t="s">
        <v>17</v>
      </c>
      <c r="B454" s="6"/>
      <c r="C454" s="6"/>
      <c r="D454" s="6"/>
      <c r="E454" s="6"/>
      <c r="F454" s="6"/>
      <c r="G454" s="6"/>
      <c r="H454" s="6"/>
      <c r="I454" s="6"/>
      <c r="J454" s="6"/>
      <c r="K454" s="6">
        <f t="shared" si="183"/>
        <v>0</v>
      </c>
    </row>
    <row r="455" spans="1:11" x14ac:dyDescent="0.25">
      <c r="A455" s="2" t="s">
        <v>18</v>
      </c>
      <c r="B455" s="8"/>
      <c r="C455" s="8"/>
      <c r="D455" s="8"/>
      <c r="E455" s="8"/>
      <c r="F455" s="8"/>
      <c r="G455" s="8"/>
      <c r="H455" s="8"/>
      <c r="I455" s="8"/>
      <c r="J455" s="8"/>
      <c r="K455" s="8">
        <f t="shared" ref="K455:K457" si="184">IF(K445&gt;0,K$8/K445,0)</f>
        <v>0</v>
      </c>
    </row>
    <row r="456" spans="1:11" x14ac:dyDescent="0.25">
      <c r="A456" s="2" t="s">
        <v>19</v>
      </c>
      <c r="B456" s="8"/>
      <c r="C456" s="8"/>
      <c r="D456" s="8"/>
      <c r="E456" s="8"/>
      <c r="F456" s="8"/>
      <c r="G456" s="8"/>
      <c r="H456" s="8"/>
      <c r="I456" s="8"/>
      <c r="J456" s="8"/>
      <c r="K456" s="8">
        <f t="shared" si="184"/>
        <v>0</v>
      </c>
    </row>
    <row r="457" spans="1:11" x14ac:dyDescent="0.25">
      <c r="A457" s="2" t="s">
        <v>20</v>
      </c>
      <c r="B457" s="8"/>
      <c r="C457" s="8"/>
      <c r="D457" s="8"/>
      <c r="E457" s="8"/>
      <c r="F457" s="8"/>
      <c r="G457" s="8"/>
      <c r="H457" s="8"/>
      <c r="I457" s="8"/>
      <c r="J457" s="8"/>
      <c r="K457" s="8">
        <f t="shared" si="184"/>
        <v>0</v>
      </c>
    </row>
    <row r="458" spans="1:11" x14ac:dyDescent="0.25">
      <c r="A458" s="2" t="s">
        <v>22</v>
      </c>
      <c r="B458" s="8"/>
      <c r="C458" s="8"/>
      <c r="D458" s="8"/>
      <c r="E458" s="8"/>
      <c r="F458" s="8"/>
      <c r="G458" s="8"/>
      <c r="H458" s="8"/>
      <c r="I458" s="8"/>
      <c r="J458" s="8"/>
      <c r="K458" s="8">
        <f t="shared" ref="K458" si="185">IF(K448&gt;0,K449/K448,0)</f>
        <v>0</v>
      </c>
    </row>
    <row r="459" spans="1:11" x14ac:dyDescent="0.25">
      <c r="A459" s="2" t="s">
        <v>21</v>
      </c>
      <c r="B459" s="8"/>
      <c r="C459" s="8"/>
      <c r="D459" s="8"/>
      <c r="E459" s="8"/>
      <c r="F459" s="8"/>
      <c r="G459" s="8"/>
      <c r="H459" s="8"/>
      <c r="I459" s="8"/>
      <c r="J459" s="8"/>
      <c r="K459" s="8">
        <f t="shared" ref="K459" si="186">IF(K450&gt;0,(K449-K450)/K450,0)</f>
        <v>0</v>
      </c>
    </row>
    <row r="460" spans="1:11" x14ac:dyDescent="0.25">
      <c r="A460" s="2" t="s">
        <v>23</v>
      </c>
      <c r="B460" s="8"/>
      <c r="C460" s="8"/>
      <c r="D460" s="8"/>
      <c r="E460" s="8"/>
      <c r="F460" s="8"/>
      <c r="G460" s="8"/>
      <c r="H460" s="8"/>
      <c r="I460" s="8"/>
      <c r="J460" s="8"/>
      <c r="K460" s="8">
        <f t="shared" ref="K460" si="187">K449-K450</f>
        <v>0</v>
      </c>
    </row>
    <row r="461" spans="1:11" x14ac:dyDescent="0.25">
      <c r="A461" s="9" t="str">
        <f>VLOOKUP(INT((ROW()-1)/17)+1,Справочник!A:D,3,0)</f>
        <v>Июль неделя 4 (25-1 июл.)</v>
      </c>
      <c r="B461" s="9">
        <f t="shared" ref="B461" si="188">B$2</f>
        <v>0</v>
      </c>
      <c r="C461" s="9">
        <f t="shared" si="181"/>
        <v>0</v>
      </c>
      <c r="D461" s="9">
        <f t="shared" si="181"/>
        <v>0</v>
      </c>
      <c r="E461" s="9">
        <f t="shared" si="181"/>
        <v>0</v>
      </c>
      <c r="F461" s="9">
        <f t="shared" si="181"/>
        <v>0</v>
      </c>
      <c r="G461" s="9">
        <f t="shared" si="181"/>
        <v>0</v>
      </c>
      <c r="H461" s="9">
        <f t="shared" si="181"/>
        <v>0</v>
      </c>
      <c r="I461" s="9">
        <f t="shared" si="181"/>
        <v>0</v>
      </c>
      <c r="J461" s="9">
        <f t="shared" si="181"/>
        <v>0</v>
      </c>
      <c r="K461" s="9">
        <f>'Учет данных'!K463</f>
        <v>0</v>
      </c>
    </row>
    <row r="462" spans="1:11" x14ac:dyDescent="0.25">
      <c r="A462" s="1" t="s">
        <v>0</v>
      </c>
      <c r="B462" s="7"/>
      <c r="C462" s="7"/>
      <c r="D462" s="7"/>
      <c r="E462" s="7"/>
      <c r="F462" s="7"/>
      <c r="G462" s="7"/>
      <c r="H462" s="7"/>
      <c r="I462" s="7"/>
      <c r="J462" s="7"/>
      <c r="K462" s="7">
        <f t="shared" ref="K462" si="189">SUM(B462:J462)</f>
        <v>0</v>
      </c>
    </row>
    <row r="463" spans="1:11" x14ac:dyDescent="0.25">
      <c r="A463" s="1" t="s">
        <v>1</v>
      </c>
      <c r="B463" s="7"/>
      <c r="C463" s="7"/>
      <c r="D463" s="7"/>
      <c r="E463" s="7"/>
      <c r="F463" s="7"/>
      <c r="G463" s="7"/>
      <c r="H463" s="7"/>
      <c r="I463" s="7"/>
      <c r="J463" s="7"/>
      <c r="K463" s="7">
        <f t="shared" si="175"/>
        <v>0</v>
      </c>
    </row>
    <row r="464" spans="1:11" x14ac:dyDescent="0.25">
      <c r="A464" s="1" t="s">
        <v>2</v>
      </c>
      <c r="B464" s="7"/>
      <c r="C464" s="7"/>
      <c r="D464" s="7"/>
      <c r="E464" s="7"/>
      <c r="F464" s="7"/>
      <c r="G464" s="7"/>
      <c r="H464" s="7"/>
      <c r="I464" s="7"/>
      <c r="J464" s="7"/>
      <c r="K464" s="7">
        <f t="shared" si="175"/>
        <v>0</v>
      </c>
    </row>
    <row r="465" spans="1:11" x14ac:dyDescent="0.25">
      <c r="A465" s="1" t="s">
        <v>3</v>
      </c>
      <c r="B465" s="7"/>
      <c r="C465" s="7"/>
      <c r="D465" s="7"/>
      <c r="E465" s="7"/>
      <c r="F465" s="7"/>
      <c r="G465" s="7"/>
      <c r="H465" s="7"/>
      <c r="I465" s="7"/>
      <c r="J465" s="7"/>
      <c r="K465" s="7">
        <f t="shared" si="175"/>
        <v>0</v>
      </c>
    </row>
    <row r="466" spans="1:11" x14ac:dyDescent="0.25">
      <c r="A466" s="1" t="s">
        <v>4</v>
      </c>
      <c r="B466" s="7"/>
      <c r="C466" s="7"/>
      <c r="D466" s="7"/>
      <c r="E466" s="7"/>
      <c r="F466" s="7"/>
      <c r="G466" s="7"/>
      <c r="H466" s="7"/>
      <c r="I466" s="7"/>
      <c r="J466" s="7"/>
      <c r="K466" s="7">
        <f t="shared" si="175"/>
        <v>0</v>
      </c>
    </row>
    <row r="467" spans="1:11" x14ac:dyDescent="0.25">
      <c r="A467" s="1" t="s">
        <v>5</v>
      </c>
      <c r="B467" s="7"/>
      <c r="C467" s="7"/>
      <c r="D467" s="7"/>
      <c r="E467" s="7"/>
      <c r="F467" s="7"/>
      <c r="G467" s="7"/>
      <c r="H467" s="7"/>
      <c r="I467" s="7"/>
      <c r="J467" s="7"/>
      <c r="K467" s="7">
        <f t="shared" si="175"/>
        <v>0</v>
      </c>
    </row>
    <row r="469" spans="1:11" x14ac:dyDescent="0.25">
      <c r="A469" s="2" t="s">
        <v>15</v>
      </c>
      <c r="B469" s="6"/>
      <c r="C469" s="6"/>
      <c r="D469" s="6"/>
      <c r="E469" s="6"/>
      <c r="F469" s="6"/>
      <c r="G469" s="6"/>
      <c r="H469" s="6"/>
      <c r="I469" s="6"/>
      <c r="J469" s="6"/>
      <c r="K469" s="6">
        <f t="shared" ref="K469:K471" si="190">IF(K462&gt;0,K463/K462,0)</f>
        <v>0</v>
      </c>
    </row>
    <row r="470" spans="1:11" x14ac:dyDescent="0.25">
      <c r="A470" s="2" t="s">
        <v>16</v>
      </c>
      <c r="B470" s="6"/>
      <c r="C470" s="6"/>
      <c r="D470" s="6"/>
      <c r="E470" s="6"/>
      <c r="F470" s="6"/>
      <c r="G470" s="6"/>
      <c r="H470" s="6"/>
      <c r="I470" s="6"/>
      <c r="J470" s="6"/>
      <c r="K470" s="6">
        <f t="shared" si="190"/>
        <v>0</v>
      </c>
    </row>
    <row r="471" spans="1:11" x14ac:dyDescent="0.25">
      <c r="A471" s="2" t="s">
        <v>17</v>
      </c>
      <c r="B471" s="6"/>
      <c r="C471" s="6"/>
      <c r="D471" s="6"/>
      <c r="E471" s="6"/>
      <c r="F471" s="6"/>
      <c r="G471" s="6"/>
      <c r="H471" s="6"/>
      <c r="I471" s="6"/>
      <c r="J471" s="6"/>
      <c r="K471" s="6">
        <f t="shared" si="190"/>
        <v>0</v>
      </c>
    </row>
    <row r="472" spans="1:11" x14ac:dyDescent="0.25">
      <c r="A472" s="2" t="s">
        <v>18</v>
      </c>
      <c r="B472" s="8"/>
      <c r="C472" s="8"/>
      <c r="D472" s="8"/>
      <c r="E472" s="8"/>
      <c r="F472" s="8"/>
      <c r="G472" s="8"/>
      <c r="H472" s="8"/>
      <c r="I472" s="8"/>
      <c r="J472" s="8"/>
      <c r="K472" s="8">
        <f t="shared" ref="K472:K474" si="191">IF(K462&gt;0,K$8/K462,0)</f>
        <v>0</v>
      </c>
    </row>
    <row r="473" spans="1:11" x14ac:dyDescent="0.25">
      <c r="A473" s="2" t="s">
        <v>19</v>
      </c>
      <c r="B473" s="8"/>
      <c r="C473" s="8"/>
      <c r="D473" s="8"/>
      <c r="E473" s="8"/>
      <c r="F473" s="8"/>
      <c r="G473" s="8"/>
      <c r="H473" s="8"/>
      <c r="I473" s="8"/>
      <c r="J473" s="8"/>
      <c r="K473" s="8">
        <f t="shared" si="191"/>
        <v>0</v>
      </c>
    </row>
    <row r="474" spans="1:11" x14ac:dyDescent="0.25">
      <c r="A474" s="2" t="s">
        <v>20</v>
      </c>
      <c r="B474" s="8"/>
      <c r="C474" s="8"/>
      <c r="D474" s="8"/>
      <c r="E474" s="8"/>
      <c r="F474" s="8"/>
      <c r="G474" s="8"/>
      <c r="H474" s="8"/>
      <c r="I474" s="8"/>
      <c r="J474" s="8"/>
      <c r="K474" s="8">
        <f t="shared" si="191"/>
        <v>0</v>
      </c>
    </row>
    <row r="475" spans="1:11" x14ac:dyDescent="0.25">
      <c r="A475" s="2" t="s">
        <v>22</v>
      </c>
      <c r="B475" s="8"/>
      <c r="C475" s="8"/>
      <c r="D475" s="8"/>
      <c r="E475" s="8"/>
      <c r="F475" s="8"/>
      <c r="G475" s="8"/>
      <c r="H475" s="8"/>
      <c r="I475" s="8"/>
      <c r="J475" s="8"/>
      <c r="K475" s="8">
        <f t="shared" ref="K475" si="192">IF(K465&gt;0,K466/K465,0)</f>
        <v>0</v>
      </c>
    </row>
    <row r="476" spans="1:11" x14ac:dyDescent="0.25">
      <c r="A476" s="2" t="s">
        <v>21</v>
      </c>
      <c r="B476" s="8"/>
      <c r="C476" s="8"/>
      <c r="D476" s="8"/>
      <c r="E476" s="8"/>
      <c r="F476" s="8"/>
      <c r="G476" s="8"/>
      <c r="H476" s="8"/>
      <c r="I476" s="8"/>
      <c r="J476" s="8"/>
      <c r="K476" s="8">
        <f t="shared" ref="K476" si="193">IF(K467&gt;0,(K466-K467)/K467,0)</f>
        <v>0</v>
      </c>
    </row>
    <row r="477" spans="1:11" x14ac:dyDescent="0.25">
      <c r="A477" s="2" t="s">
        <v>23</v>
      </c>
      <c r="B477" s="8"/>
      <c r="C477" s="8"/>
      <c r="D477" s="8"/>
      <c r="E477" s="8"/>
      <c r="F477" s="8"/>
      <c r="G477" s="8"/>
      <c r="H477" s="8"/>
      <c r="I477" s="8"/>
      <c r="J477" s="8"/>
      <c r="K477" s="8">
        <f t="shared" ref="K477" si="194">K466-K467</f>
        <v>0</v>
      </c>
    </row>
    <row r="478" spans="1:11" x14ac:dyDescent="0.25">
      <c r="A478" s="9" t="str">
        <f>VLOOKUP(INT((ROW()-1)/17)+1,Справочник!A:D,3,0)</f>
        <v>Август неделя 1 (01-07 авг.)</v>
      </c>
      <c r="B478" s="9">
        <f t="shared" ref="B478" si="195">B$2</f>
        <v>0</v>
      </c>
      <c r="C478" s="9">
        <f t="shared" si="181"/>
        <v>0</v>
      </c>
      <c r="D478" s="9">
        <f t="shared" si="181"/>
        <v>0</v>
      </c>
      <c r="E478" s="9">
        <f t="shared" si="181"/>
        <v>0</v>
      </c>
      <c r="F478" s="9">
        <f t="shared" si="181"/>
        <v>0</v>
      </c>
      <c r="G478" s="9">
        <f t="shared" si="181"/>
        <v>0</v>
      </c>
      <c r="H478" s="9">
        <f t="shared" si="181"/>
        <v>0</v>
      </c>
      <c r="I478" s="9">
        <f t="shared" si="181"/>
        <v>0</v>
      </c>
      <c r="J478" s="9">
        <f t="shared" si="181"/>
        <v>0</v>
      </c>
      <c r="K478" s="9">
        <f>'Учет данных'!K480</f>
        <v>0</v>
      </c>
    </row>
    <row r="479" spans="1:11" x14ac:dyDescent="0.25">
      <c r="A479" s="1" t="s">
        <v>0</v>
      </c>
      <c r="B479" s="7"/>
      <c r="C479" s="7"/>
      <c r="D479" s="7"/>
      <c r="E479" s="7"/>
      <c r="F479" s="7"/>
      <c r="G479" s="7"/>
      <c r="H479" s="7"/>
      <c r="I479" s="7"/>
      <c r="J479" s="7"/>
      <c r="K479" s="7">
        <f t="shared" ref="K479" si="196">SUM(B479:J479)</f>
        <v>0</v>
      </c>
    </row>
    <row r="480" spans="1:11" x14ac:dyDescent="0.25">
      <c r="A480" s="1" t="s">
        <v>1</v>
      </c>
      <c r="B480" s="7"/>
      <c r="C480" s="7"/>
      <c r="D480" s="7"/>
      <c r="E480" s="7"/>
      <c r="F480" s="7"/>
      <c r="G480" s="7"/>
      <c r="H480" s="7"/>
      <c r="I480" s="7"/>
      <c r="J480" s="7"/>
      <c r="K480" s="7">
        <f t="shared" si="175"/>
        <v>0</v>
      </c>
    </row>
    <row r="481" spans="1:11" x14ac:dyDescent="0.25">
      <c r="A481" s="1" t="s">
        <v>2</v>
      </c>
      <c r="B481" s="7"/>
      <c r="C481" s="7"/>
      <c r="D481" s="7"/>
      <c r="E481" s="7"/>
      <c r="F481" s="7"/>
      <c r="G481" s="7"/>
      <c r="H481" s="7"/>
      <c r="I481" s="7"/>
      <c r="J481" s="7"/>
      <c r="K481" s="7">
        <f t="shared" si="175"/>
        <v>0</v>
      </c>
    </row>
    <row r="482" spans="1:11" x14ac:dyDescent="0.25">
      <c r="A482" s="1" t="s">
        <v>3</v>
      </c>
      <c r="B482" s="7"/>
      <c r="C482" s="7"/>
      <c r="D482" s="7"/>
      <c r="E482" s="7"/>
      <c r="F482" s="7"/>
      <c r="G482" s="7"/>
      <c r="H482" s="7"/>
      <c r="I482" s="7"/>
      <c r="J482" s="7"/>
      <c r="K482" s="7">
        <f t="shared" si="175"/>
        <v>0</v>
      </c>
    </row>
    <row r="483" spans="1:11" x14ac:dyDescent="0.25">
      <c r="A483" s="1" t="s">
        <v>4</v>
      </c>
      <c r="B483" s="7"/>
      <c r="C483" s="7"/>
      <c r="D483" s="7"/>
      <c r="E483" s="7"/>
      <c r="F483" s="7"/>
      <c r="G483" s="7"/>
      <c r="H483" s="7"/>
      <c r="I483" s="7"/>
      <c r="J483" s="7"/>
      <c r="K483" s="7">
        <f t="shared" si="175"/>
        <v>0</v>
      </c>
    </row>
    <row r="484" spans="1:11" x14ac:dyDescent="0.25">
      <c r="A484" s="1" t="s">
        <v>5</v>
      </c>
      <c r="B484" s="7"/>
      <c r="C484" s="7"/>
      <c r="D484" s="7"/>
      <c r="E484" s="7"/>
      <c r="F484" s="7"/>
      <c r="G484" s="7"/>
      <c r="H484" s="7"/>
      <c r="I484" s="7"/>
      <c r="J484" s="7"/>
      <c r="K484" s="7">
        <f t="shared" si="175"/>
        <v>0</v>
      </c>
    </row>
    <row r="486" spans="1:11" x14ac:dyDescent="0.25">
      <c r="A486" s="2" t="s">
        <v>15</v>
      </c>
      <c r="B486" s="6"/>
      <c r="C486" s="6"/>
      <c r="D486" s="6"/>
      <c r="E486" s="6"/>
      <c r="F486" s="6"/>
      <c r="G486" s="6"/>
      <c r="H486" s="6"/>
      <c r="I486" s="6"/>
      <c r="J486" s="6"/>
      <c r="K486" s="6">
        <f t="shared" ref="K486:K488" si="197">IF(K479&gt;0,K480/K479,0)</f>
        <v>0</v>
      </c>
    </row>
    <row r="487" spans="1:11" x14ac:dyDescent="0.25">
      <c r="A487" s="2" t="s">
        <v>16</v>
      </c>
      <c r="B487" s="6"/>
      <c r="C487" s="6"/>
      <c r="D487" s="6"/>
      <c r="E487" s="6"/>
      <c r="F487" s="6"/>
      <c r="G487" s="6"/>
      <c r="H487" s="6"/>
      <c r="I487" s="6"/>
      <c r="J487" s="6"/>
      <c r="K487" s="6">
        <f t="shared" si="197"/>
        <v>0</v>
      </c>
    </row>
    <row r="488" spans="1:11" x14ac:dyDescent="0.25">
      <c r="A488" s="2" t="s">
        <v>17</v>
      </c>
      <c r="B488" s="6"/>
      <c r="C488" s="6"/>
      <c r="D488" s="6"/>
      <c r="E488" s="6"/>
      <c r="F488" s="6"/>
      <c r="G488" s="6"/>
      <c r="H488" s="6"/>
      <c r="I488" s="6"/>
      <c r="J488" s="6"/>
      <c r="K488" s="6">
        <f t="shared" si="197"/>
        <v>0</v>
      </c>
    </row>
    <row r="489" spans="1:11" x14ac:dyDescent="0.25">
      <c r="A489" s="2" t="s">
        <v>18</v>
      </c>
      <c r="B489" s="8"/>
      <c r="C489" s="8"/>
      <c r="D489" s="8"/>
      <c r="E489" s="8"/>
      <c r="F489" s="8"/>
      <c r="G489" s="8"/>
      <c r="H489" s="8"/>
      <c r="I489" s="8"/>
      <c r="J489" s="8"/>
      <c r="K489" s="8">
        <f t="shared" ref="K489:K491" si="198">IF(K479&gt;0,K$8/K479,0)</f>
        <v>0</v>
      </c>
    </row>
    <row r="490" spans="1:11" x14ac:dyDescent="0.25">
      <c r="A490" s="2" t="s">
        <v>19</v>
      </c>
      <c r="B490" s="8"/>
      <c r="C490" s="8"/>
      <c r="D490" s="8"/>
      <c r="E490" s="8"/>
      <c r="F490" s="8"/>
      <c r="G490" s="8"/>
      <c r="H490" s="8"/>
      <c r="I490" s="8"/>
      <c r="J490" s="8"/>
      <c r="K490" s="8">
        <f t="shared" si="198"/>
        <v>0</v>
      </c>
    </row>
    <row r="491" spans="1:11" x14ac:dyDescent="0.25">
      <c r="A491" s="2" t="s">
        <v>20</v>
      </c>
      <c r="B491" s="8"/>
      <c r="C491" s="8"/>
      <c r="D491" s="8"/>
      <c r="E491" s="8"/>
      <c r="F491" s="8"/>
      <c r="G491" s="8"/>
      <c r="H491" s="8"/>
      <c r="I491" s="8"/>
      <c r="J491" s="8"/>
      <c r="K491" s="8">
        <f t="shared" si="198"/>
        <v>0</v>
      </c>
    </row>
    <row r="492" spans="1:11" x14ac:dyDescent="0.25">
      <c r="A492" s="2" t="s">
        <v>22</v>
      </c>
      <c r="B492" s="8"/>
      <c r="C492" s="8"/>
      <c r="D492" s="8"/>
      <c r="E492" s="8"/>
      <c r="F492" s="8"/>
      <c r="G492" s="8"/>
      <c r="H492" s="8"/>
      <c r="I492" s="8"/>
      <c r="J492" s="8"/>
      <c r="K492" s="8">
        <f t="shared" ref="K492" si="199">IF(K482&gt;0,K483/K482,0)</f>
        <v>0</v>
      </c>
    </row>
    <row r="493" spans="1:11" x14ac:dyDescent="0.25">
      <c r="A493" s="2" t="s">
        <v>21</v>
      </c>
      <c r="B493" s="8"/>
      <c r="C493" s="8"/>
      <c r="D493" s="8"/>
      <c r="E493" s="8"/>
      <c r="F493" s="8"/>
      <c r="G493" s="8"/>
      <c r="H493" s="8"/>
      <c r="I493" s="8"/>
      <c r="J493" s="8"/>
      <c r="K493" s="8">
        <f t="shared" ref="K493" si="200">IF(K484&gt;0,(K483-K484)/K484,0)</f>
        <v>0</v>
      </c>
    </row>
    <row r="494" spans="1:11" x14ac:dyDescent="0.25">
      <c r="A494" s="2" t="s">
        <v>23</v>
      </c>
      <c r="B494" s="8"/>
      <c r="C494" s="8"/>
      <c r="D494" s="8"/>
      <c r="E494" s="8"/>
      <c r="F494" s="8"/>
      <c r="G494" s="8"/>
      <c r="H494" s="8"/>
      <c r="I494" s="8"/>
      <c r="J494" s="8"/>
      <c r="K494" s="8">
        <f t="shared" ref="K494" si="201">K483-K484</f>
        <v>0</v>
      </c>
    </row>
    <row r="495" spans="1:11" x14ac:dyDescent="0.25">
      <c r="A495" s="9" t="str">
        <f>VLOOKUP(INT((ROW()-1)/17)+1,Справочник!A:D,3,0)</f>
        <v>Август неделя 2 (08-14 авг.)</v>
      </c>
      <c r="B495" s="9">
        <f t="shared" ref="B495" si="202">B$2</f>
        <v>0</v>
      </c>
      <c r="C495" s="9">
        <f t="shared" si="181"/>
        <v>0</v>
      </c>
      <c r="D495" s="9">
        <f t="shared" si="181"/>
        <v>0</v>
      </c>
      <c r="E495" s="9">
        <f t="shared" si="181"/>
        <v>0</v>
      </c>
      <c r="F495" s="9">
        <f t="shared" si="181"/>
        <v>0</v>
      </c>
      <c r="G495" s="9">
        <f t="shared" si="181"/>
        <v>0</v>
      </c>
      <c r="H495" s="9">
        <f t="shared" si="181"/>
        <v>0</v>
      </c>
      <c r="I495" s="9">
        <f t="shared" si="181"/>
        <v>0</v>
      </c>
      <c r="J495" s="9">
        <f t="shared" si="181"/>
        <v>0</v>
      </c>
      <c r="K495" s="9">
        <f>'Учет данных'!K497</f>
        <v>0</v>
      </c>
    </row>
    <row r="496" spans="1:11" x14ac:dyDescent="0.25">
      <c r="A496" s="1" t="s">
        <v>0</v>
      </c>
      <c r="B496" s="7"/>
      <c r="C496" s="7"/>
      <c r="D496" s="7"/>
      <c r="E496" s="7"/>
      <c r="F496" s="7"/>
      <c r="G496" s="7"/>
      <c r="H496" s="7"/>
      <c r="I496" s="7"/>
      <c r="J496" s="7"/>
      <c r="K496" s="7">
        <f t="shared" ref="K496" si="203">SUM(B496:J496)</f>
        <v>0</v>
      </c>
    </row>
    <row r="497" spans="1:11" x14ac:dyDescent="0.25">
      <c r="A497" s="1" t="s">
        <v>1</v>
      </c>
      <c r="B497" s="7"/>
      <c r="C497" s="7"/>
      <c r="D497" s="7"/>
      <c r="E497" s="7"/>
      <c r="F497" s="7"/>
      <c r="G497" s="7"/>
      <c r="H497" s="7"/>
      <c r="I497" s="7"/>
      <c r="J497" s="7"/>
      <c r="K497" s="7">
        <f t="shared" ref="K497:K552" si="204">SUM(B497:J497)</f>
        <v>0</v>
      </c>
    </row>
    <row r="498" spans="1:11" x14ac:dyDescent="0.25">
      <c r="A498" s="1" t="s">
        <v>2</v>
      </c>
      <c r="B498" s="7"/>
      <c r="C498" s="7"/>
      <c r="D498" s="7"/>
      <c r="E498" s="7"/>
      <c r="F498" s="7"/>
      <c r="G498" s="7"/>
      <c r="H498" s="7"/>
      <c r="I498" s="7"/>
      <c r="J498" s="7"/>
      <c r="K498" s="7">
        <f t="shared" si="204"/>
        <v>0</v>
      </c>
    </row>
    <row r="499" spans="1:11" x14ac:dyDescent="0.25">
      <c r="A499" s="1" t="s">
        <v>3</v>
      </c>
      <c r="B499" s="7"/>
      <c r="C499" s="7"/>
      <c r="D499" s="7"/>
      <c r="E499" s="7"/>
      <c r="F499" s="7"/>
      <c r="G499" s="7"/>
      <c r="H499" s="7"/>
      <c r="I499" s="7"/>
      <c r="J499" s="7"/>
      <c r="K499" s="7">
        <f t="shared" si="204"/>
        <v>0</v>
      </c>
    </row>
    <row r="500" spans="1:11" x14ac:dyDescent="0.25">
      <c r="A500" s="1" t="s">
        <v>4</v>
      </c>
      <c r="B500" s="7"/>
      <c r="C500" s="7"/>
      <c r="D500" s="7"/>
      <c r="E500" s="7"/>
      <c r="F500" s="7"/>
      <c r="G500" s="7"/>
      <c r="H500" s="7"/>
      <c r="I500" s="7"/>
      <c r="J500" s="7"/>
      <c r="K500" s="7">
        <f t="shared" si="204"/>
        <v>0</v>
      </c>
    </row>
    <row r="501" spans="1:11" x14ac:dyDescent="0.25">
      <c r="A501" s="1" t="s">
        <v>5</v>
      </c>
      <c r="B501" s="7"/>
      <c r="C501" s="7"/>
      <c r="D501" s="7"/>
      <c r="E501" s="7"/>
      <c r="F501" s="7"/>
      <c r="G501" s="7"/>
      <c r="H501" s="7"/>
      <c r="I501" s="7"/>
      <c r="J501" s="7"/>
      <c r="K501" s="7">
        <f t="shared" si="204"/>
        <v>0</v>
      </c>
    </row>
    <row r="503" spans="1:11" x14ac:dyDescent="0.25">
      <c r="A503" s="2" t="s">
        <v>15</v>
      </c>
      <c r="B503" s="6"/>
      <c r="C503" s="6"/>
      <c r="D503" s="6"/>
      <c r="E503" s="6"/>
      <c r="F503" s="6"/>
      <c r="G503" s="6"/>
      <c r="H503" s="6"/>
      <c r="I503" s="6"/>
      <c r="J503" s="6"/>
      <c r="K503" s="6">
        <f t="shared" ref="K503:K505" si="205">IF(K496&gt;0,K497/K496,0)</f>
        <v>0</v>
      </c>
    </row>
    <row r="504" spans="1:11" x14ac:dyDescent="0.25">
      <c r="A504" s="2" t="s">
        <v>16</v>
      </c>
      <c r="B504" s="6"/>
      <c r="C504" s="6"/>
      <c r="D504" s="6"/>
      <c r="E504" s="6"/>
      <c r="F504" s="6"/>
      <c r="G504" s="6"/>
      <c r="H504" s="6"/>
      <c r="I504" s="6"/>
      <c r="J504" s="6"/>
      <c r="K504" s="6">
        <f t="shared" si="205"/>
        <v>0</v>
      </c>
    </row>
    <row r="505" spans="1:11" x14ac:dyDescent="0.25">
      <c r="A505" s="2" t="s">
        <v>17</v>
      </c>
      <c r="B505" s="6"/>
      <c r="C505" s="6"/>
      <c r="D505" s="6"/>
      <c r="E505" s="6"/>
      <c r="F505" s="6"/>
      <c r="G505" s="6"/>
      <c r="H505" s="6"/>
      <c r="I505" s="6"/>
      <c r="J505" s="6"/>
      <c r="K505" s="6">
        <f t="shared" si="205"/>
        <v>0</v>
      </c>
    </row>
    <row r="506" spans="1:11" x14ac:dyDescent="0.25">
      <c r="A506" s="2" t="s">
        <v>18</v>
      </c>
      <c r="B506" s="8"/>
      <c r="C506" s="8"/>
      <c r="D506" s="8"/>
      <c r="E506" s="8"/>
      <c r="F506" s="8"/>
      <c r="G506" s="8"/>
      <c r="H506" s="8"/>
      <c r="I506" s="8"/>
      <c r="J506" s="8"/>
      <c r="K506" s="8">
        <f t="shared" ref="K506:K508" si="206">IF(K496&gt;0,K$8/K496,0)</f>
        <v>0</v>
      </c>
    </row>
    <row r="507" spans="1:11" x14ac:dyDescent="0.25">
      <c r="A507" s="2" t="s">
        <v>19</v>
      </c>
      <c r="B507" s="8"/>
      <c r="C507" s="8"/>
      <c r="D507" s="8"/>
      <c r="E507" s="8"/>
      <c r="F507" s="8"/>
      <c r="G507" s="8"/>
      <c r="H507" s="8"/>
      <c r="I507" s="8"/>
      <c r="J507" s="8"/>
      <c r="K507" s="8">
        <f t="shared" si="206"/>
        <v>0</v>
      </c>
    </row>
    <row r="508" spans="1:11" x14ac:dyDescent="0.25">
      <c r="A508" s="2" t="s">
        <v>20</v>
      </c>
      <c r="B508" s="8"/>
      <c r="C508" s="8"/>
      <c r="D508" s="8"/>
      <c r="E508" s="8"/>
      <c r="F508" s="8"/>
      <c r="G508" s="8"/>
      <c r="H508" s="8"/>
      <c r="I508" s="8"/>
      <c r="J508" s="8"/>
      <c r="K508" s="8">
        <f t="shared" si="206"/>
        <v>0</v>
      </c>
    </row>
    <row r="509" spans="1:11" x14ac:dyDescent="0.25">
      <c r="A509" s="2" t="s">
        <v>22</v>
      </c>
      <c r="B509" s="8"/>
      <c r="C509" s="8"/>
      <c r="D509" s="8"/>
      <c r="E509" s="8"/>
      <c r="F509" s="8"/>
      <c r="G509" s="8"/>
      <c r="H509" s="8"/>
      <c r="I509" s="8"/>
      <c r="J509" s="8"/>
      <c r="K509" s="8">
        <f t="shared" ref="K509" si="207">IF(K499&gt;0,K500/K499,0)</f>
        <v>0</v>
      </c>
    </row>
    <row r="510" spans="1:11" x14ac:dyDescent="0.25">
      <c r="A510" s="2" t="s">
        <v>21</v>
      </c>
      <c r="B510" s="8"/>
      <c r="C510" s="8"/>
      <c r="D510" s="8"/>
      <c r="E510" s="8"/>
      <c r="F510" s="8"/>
      <c r="G510" s="8"/>
      <c r="H510" s="8"/>
      <c r="I510" s="8"/>
      <c r="J510" s="8"/>
      <c r="K510" s="8">
        <f t="shared" ref="K510" si="208">IF(K501&gt;0,(K500-K501)/K501,0)</f>
        <v>0</v>
      </c>
    </row>
    <row r="511" spans="1:11" x14ac:dyDescent="0.25">
      <c r="A511" s="2" t="s">
        <v>23</v>
      </c>
      <c r="B511" s="8"/>
      <c r="C511" s="8"/>
      <c r="D511" s="8"/>
      <c r="E511" s="8"/>
      <c r="F511" s="8"/>
      <c r="G511" s="8"/>
      <c r="H511" s="8"/>
      <c r="I511" s="8"/>
      <c r="J511" s="8"/>
      <c r="K511" s="8">
        <f t="shared" ref="K511" si="209">K500-K501</f>
        <v>0</v>
      </c>
    </row>
    <row r="512" spans="1:11" x14ac:dyDescent="0.25">
      <c r="A512" s="9" t="str">
        <f>VLOOKUP(INT((ROW()-1)/17)+1,Справочник!A:D,3,0)</f>
        <v>Август неделя 3 (15-21 авг.)</v>
      </c>
      <c r="B512" s="9">
        <f t="shared" ref="B512:J563" si="210">B$2</f>
        <v>0</v>
      </c>
      <c r="C512" s="9">
        <f t="shared" si="210"/>
        <v>0</v>
      </c>
      <c r="D512" s="9">
        <f t="shared" si="210"/>
        <v>0</v>
      </c>
      <c r="E512" s="9">
        <f t="shared" si="210"/>
        <v>0</v>
      </c>
      <c r="F512" s="9">
        <f t="shared" si="210"/>
        <v>0</v>
      </c>
      <c r="G512" s="9">
        <f t="shared" si="210"/>
        <v>0</v>
      </c>
      <c r="H512" s="9">
        <f t="shared" si="210"/>
        <v>0</v>
      </c>
      <c r="I512" s="9">
        <f t="shared" si="210"/>
        <v>0</v>
      </c>
      <c r="J512" s="9">
        <f t="shared" si="210"/>
        <v>0</v>
      </c>
      <c r="K512" s="9">
        <f>'Учет данных'!K514</f>
        <v>0</v>
      </c>
    </row>
    <row r="513" spans="1:11" x14ac:dyDescent="0.25">
      <c r="A513" s="1" t="s">
        <v>0</v>
      </c>
      <c r="B513" s="7"/>
      <c r="C513" s="7"/>
      <c r="D513" s="7"/>
      <c r="E513" s="7"/>
      <c r="F513" s="7"/>
      <c r="G513" s="7"/>
      <c r="H513" s="7"/>
      <c r="I513" s="7"/>
      <c r="J513" s="7"/>
      <c r="K513" s="7">
        <f t="shared" ref="K513" si="211">SUM(B513:J513)</f>
        <v>0</v>
      </c>
    </row>
    <row r="514" spans="1:11" x14ac:dyDescent="0.25">
      <c r="A514" s="1" t="s">
        <v>1</v>
      </c>
      <c r="B514" s="7"/>
      <c r="C514" s="7"/>
      <c r="D514" s="7"/>
      <c r="E514" s="7"/>
      <c r="F514" s="7"/>
      <c r="G514" s="7"/>
      <c r="H514" s="7"/>
      <c r="I514" s="7"/>
      <c r="J514" s="7"/>
      <c r="K514" s="7">
        <f t="shared" si="204"/>
        <v>0</v>
      </c>
    </row>
    <row r="515" spans="1:11" x14ac:dyDescent="0.25">
      <c r="A515" s="1" t="s">
        <v>2</v>
      </c>
      <c r="B515" s="7"/>
      <c r="C515" s="7"/>
      <c r="D515" s="7"/>
      <c r="E515" s="7"/>
      <c r="F515" s="7"/>
      <c r="G515" s="7"/>
      <c r="H515" s="7"/>
      <c r="I515" s="7"/>
      <c r="J515" s="7"/>
      <c r="K515" s="7">
        <f t="shared" si="204"/>
        <v>0</v>
      </c>
    </row>
    <row r="516" spans="1:11" x14ac:dyDescent="0.25">
      <c r="A516" s="1" t="s">
        <v>3</v>
      </c>
      <c r="B516" s="7"/>
      <c r="C516" s="7"/>
      <c r="D516" s="7"/>
      <c r="E516" s="7"/>
      <c r="F516" s="7"/>
      <c r="G516" s="7"/>
      <c r="H516" s="7"/>
      <c r="I516" s="7"/>
      <c r="J516" s="7"/>
      <c r="K516" s="7">
        <f t="shared" si="204"/>
        <v>0</v>
      </c>
    </row>
    <row r="517" spans="1:11" x14ac:dyDescent="0.25">
      <c r="A517" s="1" t="s">
        <v>4</v>
      </c>
      <c r="B517" s="7"/>
      <c r="C517" s="7"/>
      <c r="D517" s="7"/>
      <c r="E517" s="7"/>
      <c r="F517" s="7"/>
      <c r="G517" s="7"/>
      <c r="H517" s="7"/>
      <c r="I517" s="7"/>
      <c r="J517" s="7"/>
      <c r="K517" s="7">
        <f t="shared" si="204"/>
        <v>0</v>
      </c>
    </row>
    <row r="518" spans="1:11" x14ac:dyDescent="0.25">
      <c r="A518" s="1" t="s">
        <v>5</v>
      </c>
      <c r="B518" s="7"/>
      <c r="C518" s="7"/>
      <c r="D518" s="7"/>
      <c r="E518" s="7"/>
      <c r="F518" s="7"/>
      <c r="G518" s="7"/>
      <c r="H518" s="7"/>
      <c r="I518" s="7"/>
      <c r="J518" s="7"/>
      <c r="K518" s="7">
        <f t="shared" si="204"/>
        <v>0</v>
      </c>
    </row>
    <row r="520" spans="1:11" x14ac:dyDescent="0.25">
      <c r="A520" s="2" t="s">
        <v>15</v>
      </c>
      <c r="B520" s="6"/>
      <c r="C520" s="6"/>
      <c r="D520" s="6"/>
      <c r="E520" s="6"/>
      <c r="F520" s="6"/>
      <c r="G520" s="6"/>
      <c r="H520" s="6"/>
      <c r="I520" s="6"/>
      <c r="J520" s="6"/>
      <c r="K520" s="6">
        <f t="shared" ref="K520:K522" si="212">IF(K513&gt;0,K514/K513,0)</f>
        <v>0</v>
      </c>
    </row>
    <row r="521" spans="1:11" x14ac:dyDescent="0.25">
      <c r="A521" s="2" t="s">
        <v>16</v>
      </c>
      <c r="B521" s="6"/>
      <c r="C521" s="6"/>
      <c r="D521" s="6"/>
      <c r="E521" s="6"/>
      <c r="F521" s="6"/>
      <c r="G521" s="6"/>
      <c r="H521" s="6"/>
      <c r="I521" s="6"/>
      <c r="J521" s="6"/>
      <c r="K521" s="6">
        <f t="shared" si="212"/>
        <v>0</v>
      </c>
    </row>
    <row r="522" spans="1:11" x14ac:dyDescent="0.25">
      <c r="A522" s="2" t="s">
        <v>17</v>
      </c>
      <c r="B522" s="6"/>
      <c r="C522" s="6"/>
      <c r="D522" s="6"/>
      <c r="E522" s="6"/>
      <c r="F522" s="6"/>
      <c r="G522" s="6"/>
      <c r="H522" s="6"/>
      <c r="I522" s="6"/>
      <c r="J522" s="6"/>
      <c r="K522" s="6">
        <f t="shared" si="212"/>
        <v>0</v>
      </c>
    </row>
    <row r="523" spans="1:11" x14ac:dyDescent="0.25">
      <c r="A523" s="2" t="s">
        <v>18</v>
      </c>
      <c r="B523" s="8"/>
      <c r="C523" s="8"/>
      <c r="D523" s="8"/>
      <c r="E523" s="8"/>
      <c r="F523" s="8"/>
      <c r="G523" s="8"/>
      <c r="H523" s="8"/>
      <c r="I523" s="8"/>
      <c r="J523" s="8"/>
      <c r="K523" s="8">
        <f t="shared" ref="K523:K525" si="213">IF(K513&gt;0,K$8/K513,0)</f>
        <v>0</v>
      </c>
    </row>
    <row r="524" spans="1:11" x14ac:dyDescent="0.25">
      <c r="A524" s="2" t="s">
        <v>19</v>
      </c>
      <c r="B524" s="8"/>
      <c r="C524" s="8"/>
      <c r="D524" s="8"/>
      <c r="E524" s="8"/>
      <c r="F524" s="8"/>
      <c r="G524" s="8"/>
      <c r="H524" s="8"/>
      <c r="I524" s="8"/>
      <c r="J524" s="8"/>
      <c r="K524" s="8">
        <f t="shared" si="213"/>
        <v>0</v>
      </c>
    </row>
    <row r="525" spans="1:11" x14ac:dyDescent="0.25">
      <c r="A525" s="2" t="s">
        <v>20</v>
      </c>
      <c r="B525" s="8"/>
      <c r="C525" s="8"/>
      <c r="D525" s="8"/>
      <c r="E525" s="8"/>
      <c r="F525" s="8"/>
      <c r="G525" s="8"/>
      <c r="H525" s="8"/>
      <c r="I525" s="8"/>
      <c r="J525" s="8"/>
      <c r="K525" s="8">
        <f t="shared" si="213"/>
        <v>0</v>
      </c>
    </row>
    <row r="526" spans="1:11" x14ac:dyDescent="0.25">
      <c r="A526" s="2" t="s">
        <v>22</v>
      </c>
      <c r="B526" s="8"/>
      <c r="C526" s="8"/>
      <c r="D526" s="8"/>
      <c r="E526" s="8"/>
      <c r="F526" s="8"/>
      <c r="G526" s="8"/>
      <c r="H526" s="8"/>
      <c r="I526" s="8"/>
      <c r="J526" s="8"/>
      <c r="K526" s="8">
        <f t="shared" ref="K526" si="214">IF(K516&gt;0,K517/K516,0)</f>
        <v>0</v>
      </c>
    </row>
    <row r="527" spans="1:11" x14ac:dyDescent="0.25">
      <c r="A527" s="2" t="s">
        <v>21</v>
      </c>
      <c r="B527" s="8"/>
      <c r="C527" s="8"/>
      <c r="D527" s="8"/>
      <c r="E527" s="8"/>
      <c r="F527" s="8"/>
      <c r="G527" s="8"/>
      <c r="H527" s="8"/>
      <c r="I527" s="8"/>
      <c r="J527" s="8"/>
      <c r="K527" s="8">
        <f t="shared" ref="K527" si="215">IF(K518&gt;0,(K517-K518)/K518,0)</f>
        <v>0</v>
      </c>
    </row>
    <row r="528" spans="1:11" x14ac:dyDescent="0.25">
      <c r="A528" s="2" t="s">
        <v>23</v>
      </c>
      <c r="B528" s="8"/>
      <c r="C528" s="8"/>
      <c r="D528" s="8"/>
      <c r="E528" s="8"/>
      <c r="F528" s="8"/>
      <c r="G528" s="8"/>
      <c r="H528" s="8"/>
      <c r="I528" s="8"/>
      <c r="J528" s="8"/>
      <c r="K528" s="8">
        <f t="shared" ref="K528" si="216">K517-K518</f>
        <v>0</v>
      </c>
    </row>
    <row r="529" spans="1:11" x14ac:dyDescent="0.25">
      <c r="A529" s="9" t="str">
        <f>VLOOKUP(INT((ROW()-1)/17)+1,Справочник!A:D,3,0)</f>
        <v>Август неделя 4 (22-31 авг.)</v>
      </c>
      <c r="B529" s="9">
        <f t="shared" ref="B529" si="217">B$2</f>
        <v>0</v>
      </c>
      <c r="C529" s="9">
        <f t="shared" si="210"/>
        <v>0</v>
      </c>
      <c r="D529" s="9">
        <f t="shared" si="210"/>
        <v>0</v>
      </c>
      <c r="E529" s="9">
        <f t="shared" si="210"/>
        <v>0</v>
      </c>
      <c r="F529" s="9">
        <f t="shared" si="210"/>
        <v>0</v>
      </c>
      <c r="G529" s="9">
        <f t="shared" si="210"/>
        <v>0</v>
      </c>
      <c r="H529" s="9">
        <f t="shared" si="210"/>
        <v>0</v>
      </c>
      <c r="I529" s="9">
        <f t="shared" si="210"/>
        <v>0</v>
      </c>
      <c r="J529" s="9">
        <f t="shared" si="210"/>
        <v>0</v>
      </c>
      <c r="K529" s="9">
        <f>'Учет данных'!K531</f>
        <v>0</v>
      </c>
    </row>
    <row r="530" spans="1:11" x14ac:dyDescent="0.25">
      <c r="A530" s="1" t="s">
        <v>0</v>
      </c>
      <c r="B530" s="7"/>
      <c r="C530" s="7"/>
      <c r="D530" s="7"/>
      <c r="E530" s="7"/>
      <c r="F530" s="7"/>
      <c r="G530" s="7"/>
      <c r="H530" s="7"/>
      <c r="I530" s="7"/>
      <c r="J530" s="7"/>
      <c r="K530" s="7">
        <f t="shared" ref="K530" si="218">SUM(B530:J530)</f>
        <v>0</v>
      </c>
    </row>
    <row r="531" spans="1:11" x14ac:dyDescent="0.25">
      <c r="A531" s="1" t="s">
        <v>1</v>
      </c>
      <c r="B531" s="7"/>
      <c r="C531" s="7"/>
      <c r="D531" s="7"/>
      <c r="E531" s="7"/>
      <c r="F531" s="7"/>
      <c r="G531" s="7"/>
      <c r="H531" s="7"/>
      <c r="I531" s="7"/>
      <c r="J531" s="7"/>
      <c r="K531" s="7">
        <f t="shared" si="204"/>
        <v>0</v>
      </c>
    </row>
    <row r="532" spans="1:11" x14ac:dyDescent="0.25">
      <c r="A532" s="1" t="s">
        <v>2</v>
      </c>
      <c r="B532" s="7"/>
      <c r="C532" s="7"/>
      <c r="D532" s="7"/>
      <c r="E532" s="7"/>
      <c r="F532" s="7"/>
      <c r="G532" s="7"/>
      <c r="H532" s="7"/>
      <c r="I532" s="7"/>
      <c r="J532" s="7"/>
      <c r="K532" s="7">
        <f t="shared" si="204"/>
        <v>0</v>
      </c>
    </row>
    <row r="533" spans="1:11" x14ac:dyDescent="0.25">
      <c r="A533" s="1" t="s">
        <v>3</v>
      </c>
      <c r="B533" s="7"/>
      <c r="C533" s="7"/>
      <c r="D533" s="7"/>
      <c r="E533" s="7"/>
      <c r="F533" s="7"/>
      <c r="G533" s="7"/>
      <c r="H533" s="7"/>
      <c r="I533" s="7"/>
      <c r="J533" s="7"/>
      <c r="K533" s="7">
        <f t="shared" si="204"/>
        <v>0</v>
      </c>
    </row>
    <row r="534" spans="1:11" x14ac:dyDescent="0.25">
      <c r="A534" s="1" t="s">
        <v>4</v>
      </c>
      <c r="B534" s="7"/>
      <c r="C534" s="7"/>
      <c r="D534" s="7"/>
      <c r="E534" s="7"/>
      <c r="F534" s="7"/>
      <c r="G534" s="7"/>
      <c r="H534" s="7"/>
      <c r="I534" s="7"/>
      <c r="J534" s="7"/>
      <c r="K534" s="7">
        <f t="shared" si="204"/>
        <v>0</v>
      </c>
    </row>
    <row r="535" spans="1:11" x14ac:dyDescent="0.25">
      <c r="A535" s="1" t="s">
        <v>5</v>
      </c>
      <c r="B535" s="7"/>
      <c r="C535" s="7"/>
      <c r="D535" s="7"/>
      <c r="E535" s="7"/>
      <c r="F535" s="7"/>
      <c r="G535" s="7"/>
      <c r="H535" s="7"/>
      <c r="I535" s="7"/>
      <c r="J535" s="7"/>
      <c r="K535" s="7">
        <f t="shared" si="204"/>
        <v>0</v>
      </c>
    </row>
    <row r="537" spans="1:11" x14ac:dyDescent="0.25">
      <c r="A537" s="2" t="s">
        <v>15</v>
      </c>
      <c r="B537" s="6"/>
      <c r="C537" s="6"/>
      <c r="D537" s="6"/>
      <c r="E537" s="6"/>
      <c r="F537" s="6"/>
      <c r="G537" s="6"/>
      <c r="H537" s="6"/>
      <c r="I537" s="6"/>
      <c r="J537" s="6"/>
      <c r="K537" s="6">
        <f t="shared" ref="K537:K539" si="219">IF(K530&gt;0,K531/K530,0)</f>
        <v>0</v>
      </c>
    </row>
    <row r="538" spans="1:11" x14ac:dyDescent="0.25">
      <c r="A538" s="2" t="s">
        <v>16</v>
      </c>
      <c r="B538" s="6"/>
      <c r="C538" s="6"/>
      <c r="D538" s="6"/>
      <c r="E538" s="6"/>
      <c r="F538" s="6"/>
      <c r="G538" s="6"/>
      <c r="H538" s="6"/>
      <c r="I538" s="6"/>
      <c r="J538" s="6"/>
      <c r="K538" s="6">
        <f t="shared" si="219"/>
        <v>0</v>
      </c>
    </row>
    <row r="539" spans="1:11" x14ac:dyDescent="0.25">
      <c r="A539" s="2" t="s">
        <v>17</v>
      </c>
      <c r="B539" s="6"/>
      <c r="C539" s="6"/>
      <c r="D539" s="6"/>
      <c r="E539" s="6"/>
      <c r="F539" s="6"/>
      <c r="G539" s="6"/>
      <c r="H539" s="6"/>
      <c r="I539" s="6"/>
      <c r="J539" s="6"/>
      <c r="K539" s="6">
        <f t="shared" si="219"/>
        <v>0</v>
      </c>
    </row>
    <row r="540" spans="1:11" x14ac:dyDescent="0.25">
      <c r="A540" s="2" t="s">
        <v>18</v>
      </c>
      <c r="B540" s="8"/>
      <c r="C540" s="8"/>
      <c r="D540" s="8"/>
      <c r="E540" s="8"/>
      <c r="F540" s="8"/>
      <c r="G540" s="8"/>
      <c r="H540" s="8"/>
      <c r="I540" s="8"/>
      <c r="J540" s="8"/>
      <c r="K540" s="8">
        <f t="shared" ref="K540:K542" si="220">IF(K530&gt;0,K$8/K530,0)</f>
        <v>0</v>
      </c>
    </row>
    <row r="541" spans="1:11" x14ac:dyDescent="0.25">
      <c r="A541" s="2" t="s">
        <v>19</v>
      </c>
      <c r="B541" s="8"/>
      <c r="C541" s="8"/>
      <c r="D541" s="8"/>
      <c r="E541" s="8"/>
      <c r="F541" s="8"/>
      <c r="G541" s="8"/>
      <c r="H541" s="8"/>
      <c r="I541" s="8"/>
      <c r="J541" s="8"/>
      <c r="K541" s="8">
        <f t="shared" si="220"/>
        <v>0</v>
      </c>
    </row>
    <row r="542" spans="1:11" x14ac:dyDescent="0.25">
      <c r="A542" s="2" t="s">
        <v>20</v>
      </c>
      <c r="B542" s="8"/>
      <c r="C542" s="8"/>
      <c r="D542" s="8"/>
      <c r="E542" s="8"/>
      <c r="F542" s="8"/>
      <c r="G542" s="8"/>
      <c r="H542" s="8"/>
      <c r="I542" s="8"/>
      <c r="J542" s="8"/>
      <c r="K542" s="8">
        <f t="shared" si="220"/>
        <v>0</v>
      </c>
    </row>
    <row r="543" spans="1:11" x14ac:dyDescent="0.25">
      <c r="A543" s="2" t="s">
        <v>22</v>
      </c>
      <c r="B543" s="8"/>
      <c r="C543" s="8"/>
      <c r="D543" s="8"/>
      <c r="E543" s="8"/>
      <c r="F543" s="8"/>
      <c r="G543" s="8"/>
      <c r="H543" s="8"/>
      <c r="I543" s="8"/>
      <c r="J543" s="8"/>
      <c r="K543" s="8">
        <f t="shared" ref="K543" si="221">IF(K533&gt;0,K534/K533,0)</f>
        <v>0</v>
      </c>
    </row>
    <row r="544" spans="1:11" x14ac:dyDescent="0.25">
      <c r="A544" s="2" t="s">
        <v>21</v>
      </c>
      <c r="B544" s="8"/>
      <c r="C544" s="8"/>
      <c r="D544" s="8"/>
      <c r="E544" s="8"/>
      <c r="F544" s="8"/>
      <c r="G544" s="8"/>
      <c r="H544" s="8"/>
      <c r="I544" s="8"/>
      <c r="J544" s="8"/>
      <c r="K544" s="8">
        <f t="shared" ref="K544" si="222">IF(K535&gt;0,(K534-K535)/K535,0)</f>
        <v>0</v>
      </c>
    </row>
    <row r="545" spans="1:11" x14ac:dyDescent="0.25">
      <c r="A545" s="2" t="s">
        <v>23</v>
      </c>
      <c r="B545" s="8"/>
      <c r="C545" s="8"/>
      <c r="D545" s="8"/>
      <c r="E545" s="8"/>
      <c r="F545" s="8"/>
      <c r="G545" s="8"/>
      <c r="H545" s="8"/>
      <c r="I545" s="8"/>
      <c r="J545" s="8"/>
      <c r="K545" s="8">
        <f t="shared" ref="K545" si="223">K534-K535</f>
        <v>0</v>
      </c>
    </row>
    <row r="546" spans="1:11" x14ac:dyDescent="0.25">
      <c r="A546" s="9" t="str">
        <f>VLOOKUP(INT((ROW()-1)/17)+1,Справочник!A:D,3,0)</f>
        <v>Сентябрь неделя 1 (01-11 сен.)</v>
      </c>
      <c r="B546" s="9">
        <f t="shared" ref="B546" si="224">B$2</f>
        <v>0</v>
      </c>
      <c r="C546" s="9">
        <f t="shared" si="210"/>
        <v>0</v>
      </c>
      <c r="D546" s="9">
        <f t="shared" si="210"/>
        <v>0</v>
      </c>
      <c r="E546" s="9">
        <f t="shared" si="210"/>
        <v>0</v>
      </c>
      <c r="F546" s="9">
        <f t="shared" si="210"/>
        <v>0</v>
      </c>
      <c r="G546" s="9">
        <f t="shared" si="210"/>
        <v>0</v>
      </c>
      <c r="H546" s="9">
        <f t="shared" si="210"/>
        <v>0</v>
      </c>
      <c r="I546" s="9">
        <f t="shared" si="210"/>
        <v>0</v>
      </c>
      <c r="J546" s="9">
        <f t="shared" si="210"/>
        <v>0</v>
      </c>
      <c r="K546" s="9">
        <f>'Учет данных'!K548</f>
        <v>0</v>
      </c>
    </row>
    <row r="547" spans="1:11" x14ac:dyDescent="0.25">
      <c r="A547" s="1" t="s">
        <v>0</v>
      </c>
      <c r="B547" s="7"/>
      <c r="C547" s="7"/>
      <c r="D547" s="7"/>
      <c r="E547" s="7"/>
      <c r="F547" s="7"/>
      <c r="G547" s="7"/>
      <c r="H547" s="7"/>
      <c r="I547" s="7"/>
      <c r="J547" s="7"/>
      <c r="K547" s="7">
        <f t="shared" ref="K547" si="225">SUM(B547:J547)</f>
        <v>0</v>
      </c>
    </row>
    <row r="548" spans="1:11" x14ac:dyDescent="0.25">
      <c r="A548" s="1" t="s">
        <v>1</v>
      </c>
      <c r="B548" s="7"/>
      <c r="C548" s="7"/>
      <c r="D548" s="7"/>
      <c r="E548" s="7"/>
      <c r="F548" s="7"/>
      <c r="G548" s="7"/>
      <c r="H548" s="7"/>
      <c r="I548" s="7"/>
      <c r="J548" s="7"/>
      <c r="K548" s="7">
        <f t="shared" si="204"/>
        <v>0</v>
      </c>
    </row>
    <row r="549" spans="1:11" x14ac:dyDescent="0.25">
      <c r="A549" s="1" t="s">
        <v>2</v>
      </c>
      <c r="B549" s="7"/>
      <c r="C549" s="7"/>
      <c r="D549" s="7"/>
      <c r="E549" s="7"/>
      <c r="F549" s="7"/>
      <c r="G549" s="7"/>
      <c r="H549" s="7"/>
      <c r="I549" s="7"/>
      <c r="J549" s="7"/>
      <c r="K549" s="7">
        <f t="shared" si="204"/>
        <v>0</v>
      </c>
    </row>
    <row r="550" spans="1:11" x14ac:dyDescent="0.25">
      <c r="A550" s="1" t="s">
        <v>3</v>
      </c>
      <c r="B550" s="7"/>
      <c r="C550" s="7"/>
      <c r="D550" s="7"/>
      <c r="E550" s="7"/>
      <c r="F550" s="7"/>
      <c r="G550" s="7"/>
      <c r="H550" s="7"/>
      <c r="I550" s="7"/>
      <c r="J550" s="7"/>
      <c r="K550" s="7">
        <f t="shared" si="204"/>
        <v>0</v>
      </c>
    </row>
    <row r="551" spans="1:11" x14ac:dyDescent="0.25">
      <c r="A551" s="1" t="s">
        <v>4</v>
      </c>
      <c r="B551" s="7"/>
      <c r="C551" s="7"/>
      <c r="D551" s="7"/>
      <c r="E551" s="7"/>
      <c r="F551" s="7"/>
      <c r="G551" s="7"/>
      <c r="H551" s="7"/>
      <c r="I551" s="7"/>
      <c r="J551" s="7"/>
      <c r="K551" s="7">
        <f t="shared" si="204"/>
        <v>0</v>
      </c>
    </row>
    <row r="552" spans="1:11" x14ac:dyDescent="0.25">
      <c r="A552" s="1" t="s">
        <v>5</v>
      </c>
      <c r="B552" s="7"/>
      <c r="C552" s="7"/>
      <c r="D552" s="7"/>
      <c r="E552" s="7"/>
      <c r="F552" s="7"/>
      <c r="G552" s="7"/>
      <c r="H552" s="7"/>
      <c r="I552" s="7"/>
      <c r="J552" s="7"/>
      <c r="K552" s="7">
        <f t="shared" si="204"/>
        <v>0</v>
      </c>
    </row>
    <row r="554" spans="1:11" x14ac:dyDescent="0.25">
      <c r="A554" s="2" t="s">
        <v>15</v>
      </c>
      <c r="B554" s="6"/>
      <c r="C554" s="6"/>
      <c r="D554" s="6"/>
      <c r="E554" s="6"/>
      <c r="F554" s="6"/>
      <c r="G554" s="6"/>
      <c r="H554" s="6"/>
      <c r="I554" s="6"/>
      <c r="J554" s="6"/>
      <c r="K554" s="6">
        <f t="shared" ref="K554:K556" si="226">IF(K547&gt;0,K548/K547,0)</f>
        <v>0</v>
      </c>
    </row>
    <row r="555" spans="1:11" x14ac:dyDescent="0.25">
      <c r="A555" s="2" t="s">
        <v>16</v>
      </c>
      <c r="B555" s="6"/>
      <c r="C555" s="6"/>
      <c r="D555" s="6"/>
      <c r="E555" s="6"/>
      <c r="F555" s="6"/>
      <c r="G555" s="6"/>
      <c r="H555" s="6"/>
      <c r="I555" s="6"/>
      <c r="J555" s="6"/>
      <c r="K555" s="6">
        <f t="shared" si="226"/>
        <v>0</v>
      </c>
    </row>
    <row r="556" spans="1:11" x14ac:dyDescent="0.25">
      <c r="A556" s="2" t="s">
        <v>17</v>
      </c>
      <c r="B556" s="6"/>
      <c r="C556" s="6"/>
      <c r="D556" s="6"/>
      <c r="E556" s="6"/>
      <c r="F556" s="6"/>
      <c r="G556" s="6"/>
      <c r="H556" s="6"/>
      <c r="I556" s="6"/>
      <c r="J556" s="6"/>
      <c r="K556" s="6">
        <f t="shared" si="226"/>
        <v>0</v>
      </c>
    </row>
    <row r="557" spans="1:11" x14ac:dyDescent="0.25">
      <c r="A557" s="2" t="s">
        <v>18</v>
      </c>
      <c r="B557" s="8"/>
      <c r="C557" s="8"/>
      <c r="D557" s="8"/>
      <c r="E557" s="8"/>
      <c r="F557" s="8"/>
      <c r="G557" s="8"/>
      <c r="H557" s="8"/>
      <c r="I557" s="8"/>
      <c r="J557" s="8"/>
      <c r="K557" s="8">
        <f t="shared" ref="K557:K559" si="227">IF(K547&gt;0,K$8/K547,0)</f>
        <v>0</v>
      </c>
    </row>
    <row r="558" spans="1:11" x14ac:dyDescent="0.25">
      <c r="A558" s="2" t="s">
        <v>19</v>
      </c>
      <c r="B558" s="8"/>
      <c r="C558" s="8"/>
      <c r="D558" s="8"/>
      <c r="E558" s="8"/>
      <c r="F558" s="8"/>
      <c r="G558" s="8"/>
      <c r="H558" s="8"/>
      <c r="I558" s="8"/>
      <c r="J558" s="8"/>
      <c r="K558" s="8">
        <f t="shared" si="227"/>
        <v>0</v>
      </c>
    </row>
    <row r="559" spans="1:11" x14ac:dyDescent="0.25">
      <c r="A559" s="2" t="s">
        <v>20</v>
      </c>
      <c r="B559" s="8"/>
      <c r="C559" s="8"/>
      <c r="D559" s="8"/>
      <c r="E559" s="8"/>
      <c r="F559" s="8"/>
      <c r="G559" s="8"/>
      <c r="H559" s="8"/>
      <c r="I559" s="8"/>
      <c r="J559" s="8"/>
      <c r="K559" s="8">
        <f t="shared" si="227"/>
        <v>0</v>
      </c>
    </row>
    <row r="560" spans="1:11" x14ac:dyDescent="0.25">
      <c r="A560" s="2" t="s">
        <v>22</v>
      </c>
      <c r="B560" s="8"/>
      <c r="C560" s="8"/>
      <c r="D560" s="8"/>
      <c r="E560" s="8"/>
      <c r="F560" s="8"/>
      <c r="G560" s="8"/>
      <c r="H560" s="8"/>
      <c r="I560" s="8"/>
      <c r="J560" s="8"/>
      <c r="K560" s="8">
        <f t="shared" ref="K560" si="228">IF(K550&gt;0,K551/K550,0)</f>
        <v>0</v>
      </c>
    </row>
    <row r="561" spans="1:11" x14ac:dyDescent="0.25">
      <c r="A561" s="2" t="s">
        <v>21</v>
      </c>
      <c r="B561" s="8"/>
      <c r="C561" s="8"/>
      <c r="D561" s="8"/>
      <c r="E561" s="8"/>
      <c r="F561" s="8"/>
      <c r="G561" s="8"/>
      <c r="H561" s="8"/>
      <c r="I561" s="8"/>
      <c r="J561" s="8"/>
      <c r="K561" s="8">
        <f t="shared" ref="K561" si="229">IF(K552&gt;0,(K551-K552)/K552,0)</f>
        <v>0</v>
      </c>
    </row>
    <row r="562" spans="1:11" x14ac:dyDescent="0.25">
      <c r="A562" s="2" t="s">
        <v>23</v>
      </c>
      <c r="B562" s="8"/>
      <c r="C562" s="8"/>
      <c r="D562" s="8"/>
      <c r="E562" s="8"/>
      <c r="F562" s="8"/>
      <c r="G562" s="8"/>
      <c r="H562" s="8"/>
      <c r="I562" s="8"/>
      <c r="J562" s="8"/>
      <c r="K562" s="8">
        <f t="shared" ref="K562" si="230">K551-K552</f>
        <v>0</v>
      </c>
    </row>
    <row r="563" spans="1:11" x14ac:dyDescent="0.25">
      <c r="A563" s="9" t="str">
        <f>VLOOKUP(INT((ROW()-1)/17)+1,Справочник!A:D,3,0)</f>
        <v>Сентябрь неделя 2 (12-18 сен.)</v>
      </c>
      <c r="B563" s="9">
        <f t="shared" ref="B563" si="231">B$2</f>
        <v>0</v>
      </c>
      <c r="C563" s="9">
        <f t="shared" si="210"/>
        <v>0</v>
      </c>
      <c r="D563" s="9">
        <f t="shared" si="210"/>
        <v>0</v>
      </c>
      <c r="E563" s="9">
        <f t="shared" si="210"/>
        <v>0</v>
      </c>
      <c r="F563" s="9">
        <f t="shared" si="210"/>
        <v>0</v>
      </c>
      <c r="G563" s="9">
        <f t="shared" si="210"/>
        <v>0</v>
      </c>
      <c r="H563" s="9">
        <f t="shared" si="210"/>
        <v>0</v>
      </c>
      <c r="I563" s="9">
        <f t="shared" si="210"/>
        <v>0</v>
      </c>
      <c r="J563" s="9">
        <f t="shared" si="210"/>
        <v>0</v>
      </c>
      <c r="K563" s="9">
        <f>'Учет данных'!K565</f>
        <v>0</v>
      </c>
    </row>
    <row r="564" spans="1:11" x14ac:dyDescent="0.25">
      <c r="A564" s="1" t="s">
        <v>0</v>
      </c>
      <c r="B564" s="7"/>
      <c r="C564" s="7"/>
      <c r="D564" s="7"/>
      <c r="E564" s="7"/>
      <c r="F564" s="7"/>
      <c r="G564" s="7"/>
      <c r="H564" s="7"/>
      <c r="I564" s="7"/>
      <c r="J564" s="7"/>
      <c r="K564" s="7">
        <f t="shared" ref="K564" si="232">SUM(B564:J564)</f>
        <v>0</v>
      </c>
    </row>
    <row r="565" spans="1:11" x14ac:dyDescent="0.25">
      <c r="A565" s="1" t="s">
        <v>1</v>
      </c>
      <c r="B565" s="7"/>
      <c r="C565" s="7"/>
      <c r="D565" s="7"/>
      <c r="E565" s="7"/>
      <c r="F565" s="7"/>
      <c r="G565" s="7"/>
      <c r="H565" s="7"/>
      <c r="I565" s="7"/>
      <c r="J565" s="7"/>
      <c r="K565" s="7">
        <f t="shared" ref="K565:K620" si="233">SUM(B565:J565)</f>
        <v>0</v>
      </c>
    </row>
    <row r="566" spans="1:11" x14ac:dyDescent="0.25">
      <c r="A566" s="1" t="s">
        <v>2</v>
      </c>
      <c r="B566" s="7"/>
      <c r="C566" s="7"/>
      <c r="D566" s="7"/>
      <c r="E566" s="7"/>
      <c r="F566" s="7"/>
      <c r="G566" s="7"/>
      <c r="H566" s="7"/>
      <c r="I566" s="7"/>
      <c r="J566" s="7"/>
      <c r="K566" s="7">
        <f t="shared" si="233"/>
        <v>0</v>
      </c>
    </row>
    <row r="567" spans="1:11" x14ac:dyDescent="0.25">
      <c r="A567" s="1" t="s">
        <v>3</v>
      </c>
      <c r="B567" s="7"/>
      <c r="C567" s="7"/>
      <c r="D567" s="7"/>
      <c r="E567" s="7"/>
      <c r="F567" s="7"/>
      <c r="G567" s="7"/>
      <c r="H567" s="7"/>
      <c r="I567" s="7"/>
      <c r="J567" s="7"/>
      <c r="K567" s="7">
        <f t="shared" si="233"/>
        <v>0</v>
      </c>
    </row>
    <row r="568" spans="1:11" x14ac:dyDescent="0.25">
      <c r="A568" s="1" t="s">
        <v>4</v>
      </c>
      <c r="B568" s="7"/>
      <c r="C568" s="7"/>
      <c r="D568" s="7"/>
      <c r="E568" s="7"/>
      <c r="F568" s="7"/>
      <c r="G568" s="7"/>
      <c r="H568" s="7"/>
      <c r="I568" s="7"/>
      <c r="J568" s="7"/>
      <c r="K568" s="7">
        <f t="shared" si="233"/>
        <v>0</v>
      </c>
    </row>
    <row r="569" spans="1:11" x14ac:dyDescent="0.25">
      <c r="A569" s="1" t="s">
        <v>5</v>
      </c>
      <c r="B569" s="7"/>
      <c r="C569" s="7"/>
      <c r="D569" s="7"/>
      <c r="E569" s="7"/>
      <c r="F569" s="7"/>
      <c r="G569" s="7"/>
      <c r="H569" s="7"/>
      <c r="I569" s="7"/>
      <c r="J569" s="7"/>
      <c r="K569" s="7">
        <f t="shared" si="233"/>
        <v>0</v>
      </c>
    </row>
    <row r="571" spans="1:11" x14ac:dyDescent="0.25">
      <c r="A571" s="2" t="s">
        <v>15</v>
      </c>
      <c r="B571" s="6"/>
      <c r="C571" s="6"/>
      <c r="D571" s="6"/>
      <c r="E571" s="6"/>
      <c r="F571" s="6"/>
      <c r="G571" s="6"/>
      <c r="H571" s="6"/>
      <c r="I571" s="6"/>
      <c r="J571" s="6"/>
      <c r="K571" s="6">
        <f t="shared" ref="K571:K573" si="234">IF(K564&gt;0,K565/K564,0)</f>
        <v>0</v>
      </c>
    </row>
    <row r="572" spans="1:11" x14ac:dyDescent="0.25">
      <c r="A572" s="2" t="s">
        <v>16</v>
      </c>
      <c r="B572" s="6"/>
      <c r="C572" s="6"/>
      <c r="D572" s="6"/>
      <c r="E572" s="6"/>
      <c r="F572" s="6"/>
      <c r="G572" s="6"/>
      <c r="H572" s="6"/>
      <c r="I572" s="6"/>
      <c r="J572" s="6"/>
      <c r="K572" s="6">
        <f t="shared" si="234"/>
        <v>0</v>
      </c>
    </row>
    <row r="573" spans="1:11" x14ac:dyDescent="0.25">
      <c r="A573" s="2" t="s">
        <v>17</v>
      </c>
      <c r="B573" s="6"/>
      <c r="C573" s="6"/>
      <c r="D573" s="6"/>
      <c r="E573" s="6"/>
      <c r="F573" s="6"/>
      <c r="G573" s="6"/>
      <c r="H573" s="6"/>
      <c r="I573" s="6"/>
      <c r="J573" s="6"/>
      <c r="K573" s="6">
        <f t="shared" si="234"/>
        <v>0</v>
      </c>
    </row>
    <row r="574" spans="1:11" x14ac:dyDescent="0.25">
      <c r="A574" s="2" t="s">
        <v>18</v>
      </c>
      <c r="B574" s="8"/>
      <c r="C574" s="8"/>
      <c r="D574" s="8"/>
      <c r="E574" s="8"/>
      <c r="F574" s="8"/>
      <c r="G574" s="8"/>
      <c r="H574" s="8"/>
      <c r="I574" s="8"/>
      <c r="J574" s="8"/>
      <c r="K574" s="8">
        <f t="shared" ref="K574:K576" si="235">IF(K564&gt;0,K$8/K564,0)</f>
        <v>0</v>
      </c>
    </row>
    <row r="575" spans="1:11" x14ac:dyDescent="0.25">
      <c r="A575" s="2" t="s">
        <v>19</v>
      </c>
      <c r="B575" s="8"/>
      <c r="C575" s="8"/>
      <c r="D575" s="8"/>
      <c r="E575" s="8"/>
      <c r="F575" s="8"/>
      <c r="G575" s="8"/>
      <c r="H575" s="8"/>
      <c r="I575" s="8"/>
      <c r="J575" s="8"/>
      <c r="K575" s="8">
        <f t="shared" si="235"/>
        <v>0</v>
      </c>
    </row>
    <row r="576" spans="1:11" x14ac:dyDescent="0.25">
      <c r="A576" s="2" t="s">
        <v>20</v>
      </c>
      <c r="B576" s="8"/>
      <c r="C576" s="8"/>
      <c r="D576" s="8"/>
      <c r="E576" s="8"/>
      <c r="F576" s="8"/>
      <c r="G576" s="8"/>
      <c r="H576" s="8"/>
      <c r="I576" s="8"/>
      <c r="J576" s="8"/>
      <c r="K576" s="8">
        <f t="shared" si="235"/>
        <v>0</v>
      </c>
    </row>
    <row r="577" spans="1:11" x14ac:dyDescent="0.25">
      <c r="A577" s="2" t="s">
        <v>22</v>
      </c>
      <c r="B577" s="8"/>
      <c r="C577" s="8"/>
      <c r="D577" s="8"/>
      <c r="E577" s="8"/>
      <c r="F577" s="8"/>
      <c r="G577" s="8"/>
      <c r="H577" s="8"/>
      <c r="I577" s="8"/>
      <c r="J577" s="8"/>
      <c r="K577" s="8">
        <f t="shared" ref="K577" si="236">IF(K567&gt;0,K568/K567,0)</f>
        <v>0</v>
      </c>
    </row>
    <row r="578" spans="1:11" x14ac:dyDescent="0.25">
      <c r="A578" s="2" t="s">
        <v>21</v>
      </c>
      <c r="B578" s="8"/>
      <c r="C578" s="8"/>
      <c r="D578" s="8"/>
      <c r="E578" s="8"/>
      <c r="F578" s="8"/>
      <c r="G578" s="8"/>
      <c r="H578" s="8"/>
      <c r="I578" s="8"/>
      <c r="J578" s="8"/>
      <c r="K578" s="8">
        <f t="shared" ref="K578" si="237">IF(K569&gt;0,(K568-K569)/K569,0)</f>
        <v>0</v>
      </c>
    </row>
    <row r="579" spans="1:11" x14ac:dyDescent="0.25">
      <c r="A579" s="2" t="s">
        <v>23</v>
      </c>
      <c r="B579" s="8"/>
      <c r="C579" s="8"/>
      <c r="D579" s="8"/>
      <c r="E579" s="8"/>
      <c r="F579" s="8"/>
      <c r="G579" s="8"/>
      <c r="H579" s="8"/>
      <c r="I579" s="8"/>
      <c r="J579" s="8"/>
      <c r="K579" s="8">
        <f t="shared" ref="K579" si="238">K568-K569</f>
        <v>0</v>
      </c>
    </row>
    <row r="580" spans="1:11" x14ac:dyDescent="0.25">
      <c r="A580" s="9" t="str">
        <f>VLOOKUP(INT((ROW()-1)/17)+1,Справочник!A:D,3,0)</f>
        <v>Сентябрь неделя 3 (19-25 сен.)</v>
      </c>
      <c r="B580" s="9">
        <f t="shared" ref="B580:J631" si="239">B$2</f>
        <v>0</v>
      </c>
      <c r="C580" s="9">
        <f t="shared" si="239"/>
        <v>0</v>
      </c>
      <c r="D580" s="9">
        <f t="shared" si="239"/>
        <v>0</v>
      </c>
      <c r="E580" s="9">
        <f t="shared" si="239"/>
        <v>0</v>
      </c>
      <c r="F580" s="9">
        <f t="shared" si="239"/>
        <v>0</v>
      </c>
      <c r="G580" s="9">
        <f t="shared" si="239"/>
        <v>0</v>
      </c>
      <c r="H580" s="9">
        <f t="shared" si="239"/>
        <v>0</v>
      </c>
      <c r="I580" s="9">
        <f t="shared" si="239"/>
        <v>0</v>
      </c>
      <c r="J580" s="9">
        <f t="shared" si="239"/>
        <v>0</v>
      </c>
      <c r="K580" s="9">
        <f>'Учет данных'!K582</f>
        <v>0</v>
      </c>
    </row>
    <row r="581" spans="1:11" x14ac:dyDescent="0.25">
      <c r="A581" s="1" t="s">
        <v>0</v>
      </c>
      <c r="B581" s="7"/>
      <c r="C581" s="7"/>
      <c r="D581" s="7"/>
      <c r="E581" s="7"/>
      <c r="F581" s="7"/>
      <c r="G581" s="7"/>
      <c r="H581" s="7"/>
      <c r="I581" s="7"/>
      <c r="J581" s="7"/>
      <c r="K581" s="7">
        <f t="shared" ref="K581" si="240">SUM(B581:J581)</f>
        <v>0</v>
      </c>
    </row>
    <row r="582" spans="1:11" x14ac:dyDescent="0.25">
      <c r="A582" s="1" t="s">
        <v>1</v>
      </c>
      <c r="B582" s="7"/>
      <c r="C582" s="7"/>
      <c r="D582" s="7"/>
      <c r="E582" s="7"/>
      <c r="F582" s="7"/>
      <c r="G582" s="7"/>
      <c r="H582" s="7"/>
      <c r="I582" s="7"/>
      <c r="J582" s="7"/>
      <c r="K582" s="7">
        <f t="shared" si="233"/>
        <v>0</v>
      </c>
    </row>
    <row r="583" spans="1:11" x14ac:dyDescent="0.25">
      <c r="A583" s="1" t="s">
        <v>2</v>
      </c>
      <c r="B583" s="7"/>
      <c r="C583" s="7"/>
      <c r="D583" s="7"/>
      <c r="E583" s="7"/>
      <c r="F583" s="7"/>
      <c r="G583" s="7"/>
      <c r="H583" s="7"/>
      <c r="I583" s="7"/>
      <c r="J583" s="7"/>
      <c r="K583" s="7">
        <f t="shared" si="233"/>
        <v>0</v>
      </c>
    </row>
    <row r="584" spans="1:11" x14ac:dyDescent="0.25">
      <c r="A584" s="1" t="s">
        <v>3</v>
      </c>
      <c r="B584" s="7"/>
      <c r="C584" s="7"/>
      <c r="D584" s="7"/>
      <c r="E584" s="7"/>
      <c r="F584" s="7"/>
      <c r="G584" s="7"/>
      <c r="H584" s="7"/>
      <c r="I584" s="7"/>
      <c r="J584" s="7"/>
      <c r="K584" s="7">
        <f t="shared" si="233"/>
        <v>0</v>
      </c>
    </row>
    <row r="585" spans="1:11" x14ac:dyDescent="0.25">
      <c r="A585" s="1" t="s">
        <v>4</v>
      </c>
      <c r="B585" s="7"/>
      <c r="C585" s="7"/>
      <c r="D585" s="7"/>
      <c r="E585" s="7"/>
      <c r="F585" s="7"/>
      <c r="G585" s="7"/>
      <c r="H585" s="7"/>
      <c r="I585" s="7"/>
      <c r="J585" s="7"/>
      <c r="K585" s="7">
        <f t="shared" si="233"/>
        <v>0</v>
      </c>
    </row>
    <row r="586" spans="1:11" x14ac:dyDescent="0.25">
      <c r="A586" s="1" t="s">
        <v>5</v>
      </c>
      <c r="B586" s="7"/>
      <c r="C586" s="7"/>
      <c r="D586" s="7"/>
      <c r="E586" s="7"/>
      <c r="F586" s="7"/>
      <c r="G586" s="7"/>
      <c r="H586" s="7"/>
      <c r="I586" s="7"/>
      <c r="J586" s="7"/>
      <c r="K586" s="7">
        <f t="shared" si="233"/>
        <v>0</v>
      </c>
    </row>
    <row r="588" spans="1:11" x14ac:dyDescent="0.25">
      <c r="A588" s="2" t="s">
        <v>15</v>
      </c>
      <c r="B588" s="6"/>
      <c r="C588" s="6"/>
      <c r="D588" s="6"/>
      <c r="E588" s="6"/>
      <c r="F588" s="6"/>
      <c r="G588" s="6"/>
      <c r="H588" s="6"/>
      <c r="I588" s="6"/>
      <c r="J588" s="6"/>
      <c r="K588" s="6">
        <f t="shared" ref="K588:K590" si="241">IF(K581&gt;0,K582/K581,0)</f>
        <v>0</v>
      </c>
    </row>
    <row r="589" spans="1:11" x14ac:dyDescent="0.25">
      <c r="A589" s="2" t="s">
        <v>16</v>
      </c>
      <c r="B589" s="6"/>
      <c r="C589" s="6"/>
      <c r="D589" s="6"/>
      <c r="E589" s="6"/>
      <c r="F589" s="6"/>
      <c r="G589" s="6"/>
      <c r="H589" s="6"/>
      <c r="I589" s="6"/>
      <c r="J589" s="6"/>
      <c r="K589" s="6">
        <f t="shared" si="241"/>
        <v>0</v>
      </c>
    </row>
    <row r="590" spans="1:11" x14ac:dyDescent="0.25">
      <c r="A590" s="2" t="s">
        <v>17</v>
      </c>
      <c r="B590" s="6"/>
      <c r="C590" s="6"/>
      <c r="D590" s="6"/>
      <c r="E590" s="6"/>
      <c r="F590" s="6"/>
      <c r="G590" s="6"/>
      <c r="H590" s="6"/>
      <c r="I590" s="6"/>
      <c r="J590" s="6"/>
      <c r="K590" s="6">
        <f t="shared" si="241"/>
        <v>0</v>
      </c>
    </row>
    <row r="591" spans="1:11" x14ac:dyDescent="0.25">
      <c r="A591" s="2" t="s">
        <v>18</v>
      </c>
      <c r="B591" s="8"/>
      <c r="C591" s="8"/>
      <c r="D591" s="8"/>
      <c r="E591" s="8"/>
      <c r="F591" s="8"/>
      <c r="G591" s="8"/>
      <c r="H591" s="8"/>
      <c r="I591" s="8"/>
      <c r="J591" s="8"/>
      <c r="K591" s="8">
        <f t="shared" ref="K591:K593" si="242">IF(K581&gt;0,K$8/K581,0)</f>
        <v>0</v>
      </c>
    </row>
    <row r="592" spans="1:11" x14ac:dyDescent="0.25">
      <c r="A592" s="2" t="s">
        <v>19</v>
      </c>
      <c r="B592" s="8"/>
      <c r="C592" s="8"/>
      <c r="D592" s="8"/>
      <c r="E592" s="8"/>
      <c r="F592" s="8"/>
      <c r="G592" s="8"/>
      <c r="H592" s="8"/>
      <c r="I592" s="8"/>
      <c r="J592" s="8"/>
      <c r="K592" s="8">
        <f t="shared" si="242"/>
        <v>0</v>
      </c>
    </row>
    <row r="593" spans="1:11" x14ac:dyDescent="0.25">
      <c r="A593" s="2" t="s">
        <v>20</v>
      </c>
      <c r="B593" s="8"/>
      <c r="C593" s="8"/>
      <c r="D593" s="8"/>
      <c r="E593" s="8"/>
      <c r="F593" s="8"/>
      <c r="G593" s="8"/>
      <c r="H593" s="8"/>
      <c r="I593" s="8"/>
      <c r="J593" s="8"/>
      <c r="K593" s="8">
        <f t="shared" si="242"/>
        <v>0</v>
      </c>
    </row>
    <row r="594" spans="1:11" x14ac:dyDescent="0.25">
      <c r="A594" s="2" t="s">
        <v>22</v>
      </c>
      <c r="B594" s="8"/>
      <c r="C594" s="8"/>
      <c r="D594" s="8"/>
      <c r="E594" s="8"/>
      <c r="F594" s="8"/>
      <c r="G594" s="8"/>
      <c r="H594" s="8"/>
      <c r="I594" s="8"/>
      <c r="J594" s="8"/>
      <c r="K594" s="8">
        <f t="shared" ref="K594" si="243">IF(K584&gt;0,K585/K584,0)</f>
        <v>0</v>
      </c>
    </row>
    <row r="595" spans="1:11" x14ac:dyDescent="0.25">
      <c r="A595" s="2" t="s">
        <v>21</v>
      </c>
      <c r="B595" s="8"/>
      <c r="C595" s="8"/>
      <c r="D595" s="8"/>
      <c r="E595" s="8"/>
      <c r="F595" s="8"/>
      <c r="G595" s="8"/>
      <c r="H595" s="8"/>
      <c r="I595" s="8"/>
      <c r="J595" s="8"/>
      <c r="K595" s="8">
        <f t="shared" ref="K595" si="244">IF(K586&gt;0,(K585-K586)/K586,0)</f>
        <v>0</v>
      </c>
    </row>
    <row r="596" spans="1:11" x14ac:dyDescent="0.25">
      <c r="A596" s="2" t="s">
        <v>23</v>
      </c>
      <c r="B596" s="8"/>
      <c r="C596" s="8"/>
      <c r="D596" s="8"/>
      <c r="E596" s="8"/>
      <c r="F596" s="8"/>
      <c r="G596" s="8"/>
      <c r="H596" s="8"/>
      <c r="I596" s="8"/>
      <c r="J596" s="8"/>
      <c r="K596" s="8">
        <f t="shared" ref="K596" si="245">K585-K586</f>
        <v>0</v>
      </c>
    </row>
    <row r="597" spans="1:11" x14ac:dyDescent="0.25">
      <c r="A597" s="9" t="str">
        <f>VLOOKUP(INT((ROW()-1)/17)+1,Справочник!A:D,3,0)</f>
        <v>Сентябрь неделя 4 (26-30 сен.)</v>
      </c>
      <c r="B597" s="9">
        <f t="shared" ref="B597" si="246">B$2</f>
        <v>0</v>
      </c>
      <c r="C597" s="9">
        <f t="shared" si="239"/>
        <v>0</v>
      </c>
      <c r="D597" s="9">
        <f t="shared" si="239"/>
        <v>0</v>
      </c>
      <c r="E597" s="9">
        <f t="shared" si="239"/>
        <v>0</v>
      </c>
      <c r="F597" s="9">
        <f t="shared" si="239"/>
        <v>0</v>
      </c>
      <c r="G597" s="9">
        <f t="shared" si="239"/>
        <v>0</v>
      </c>
      <c r="H597" s="9">
        <f t="shared" si="239"/>
        <v>0</v>
      </c>
      <c r="I597" s="9">
        <f t="shared" si="239"/>
        <v>0</v>
      </c>
      <c r="J597" s="9">
        <f t="shared" si="239"/>
        <v>0</v>
      </c>
      <c r="K597" s="9">
        <f>'Учет данных'!K599</f>
        <v>0</v>
      </c>
    </row>
    <row r="598" spans="1:11" x14ac:dyDescent="0.25">
      <c r="A598" s="1" t="s">
        <v>0</v>
      </c>
      <c r="B598" s="7"/>
      <c r="C598" s="7"/>
      <c r="D598" s="7"/>
      <c r="E598" s="7"/>
      <c r="F598" s="7"/>
      <c r="G598" s="7"/>
      <c r="H598" s="7"/>
      <c r="I598" s="7"/>
      <c r="J598" s="7"/>
      <c r="K598" s="7">
        <f t="shared" ref="K598" si="247">SUM(B598:J598)</f>
        <v>0</v>
      </c>
    </row>
    <row r="599" spans="1:11" x14ac:dyDescent="0.25">
      <c r="A599" s="1" t="s">
        <v>1</v>
      </c>
      <c r="B599" s="7"/>
      <c r="C599" s="7"/>
      <c r="D599" s="7"/>
      <c r="E599" s="7"/>
      <c r="F599" s="7"/>
      <c r="G599" s="7"/>
      <c r="H599" s="7"/>
      <c r="I599" s="7"/>
      <c r="J599" s="7"/>
      <c r="K599" s="7">
        <f t="shared" si="233"/>
        <v>0</v>
      </c>
    </row>
    <row r="600" spans="1:11" x14ac:dyDescent="0.25">
      <c r="A600" s="1" t="s">
        <v>2</v>
      </c>
      <c r="B600" s="7"/>
      <c r="C600" s="7"/>
      <c r="D600" s="7"/>
      <c r="E600" s="7"/>
      <c r="F600" s="7"/>
      <c r="G600" s="7"/>
      <c r="H600" s="7"/>
      <c r="I600" s="7"/>
      <c r="J600" s="7"/>
      <c r="K600" s="7">
        <f t="shared" si="233"/>
        <v>0</v>
      </c>
    </row>
    <row r="601" spans="1:11" x14ac:dyDescent="0.25">
      <c r="A601" s="1" t="s">
        <v>3</v>
      </c>
      <c r="B601" s="7"/>
      <c r="C601" s="7"/>
      <c r="D601" s="7"/>
      <c r="E601" s="7"/>
      <c r="F601" s="7"/>
      <c r="G601" s="7"/>
      <c r="H601" s="7"/>
      <c r="I601" s="7"/>
      <c r="J601" s="7"/>
      <c r="K601" s="7">
        <f t="shared" si="233"/>
        <v>0</v>
      </c>
    </row>
    <row r="602" spans="1:11" x14ac:dyDescent="0.25">
      <c r="A602" s="1" t="s">
        <v>4</v>
      </c>
      <c r="B602" s="7"/>
      <c r="C602" s="7"/>
      <c r="D602" s="7"/>
      <c r="E602" s="7"/>
      <c r="F602" s="7"/>
      <c r="G602" s="7"/>
      <c r="H602" s="7"/>
      <c r="I602" s="7"/>
      <c r="J602" s="7"/>
      <c r="K602" s="7">
        <f t="shared" si="233"/>
        <v>0</v>
      </c>
    </row>
    <row r="603" spans="1:11" x14ac:dyDescent="0.25">
      <c r="A603" s="1" t="s">
        <v>5</v>
      </c>
      <c r="B603" s="7"/>
      <c r="C603" s="7"/>
      <c r="D603" s="7"/>
      <c r="E603" s="7"/>
      <c r="F603" s="7"/>
      <c r="G603" s="7"/>
      <c r="H603" s="7"/>
      <c r="I603" s="7"/>
      <c r="J603" s="7"/>
      <c r="K603" s="7">
        <f t="shared" si="233"/>
        <v>0</v>
      </c>
    </row>
    <row r="605" spans="1:11" x14ac:dyDescent="0.25">
      <c r="A605" s="2" t="s">
        <v>15</v>
      </c>
      <c r="B605" s="6"/>
      <c r="C605" s="6"/>
      <c r="D605" s="6"/>
      <c r="E605" s="6"/>
      <c r="F605" s="6"/>
      <c r="G605" s="6"/>
      <c r="H605" s="6"/>
      <c r="I605" s="6"/>
      <c r="J605" s="6"/>
      <c r="K605" s="6">
        <f t="shared" ref="K605:K607" si="248">IF(K598&gt;0,K599/K598,0)</f>
        <v>0</v>
      </c>
    </row>
    <row r="606" spans="1:11" x14ac:dyDescent="0.25">
      <c r="A606" s="2" t="s">
        <v>16</v>
      </c>
      <c r="B606" s="6"/>
      <c r="C606" s="6"/>
      <c r="D606" s="6"/>
      <c r="E606" s="6"/>
      <c r="F606" s="6"/>
      <c r="G606" s="6"/>
      <c r="H606" s="6"/>
      <c r="I606" s="6"/>
      <c r="J606" s="6"/>
      <c r="K606" s="6">
        <f t="shared" si="248"/>
        <v>0</v>
      </c>
    </row>
    <row r="607" spans="1:11" x14ac:dyDescent="0.25">
      <c r="A607" s="2" t="s">
        <v>17</v>
      </c>
      <c r="B607" s="6"/>
      <c r="C607" s="6"/>
      <c r="D607" s="6"/>
      <c r="E607" s="6"/>
      <c r="F607" s="6"/>
      <c r="G607" s="6"/>
      <c r="H607" s="6"/>
      <c r="I607" s="6"/>
      <c r="J607" s="6"/>
      <c r="K607" s="6">
        <f t="shared" si="248"/>
        <v>0</v>
      </c>
    </row>
    <row r="608" spans="1:11" x14ac:dyDescent="0.25">
      <c r="A608" s="2" t="s">
        <v>18</v>
      </c>
      <c r="B608" s="8"/>
      <c r="C608" s="8"/>
      <c r="D608" s="8"/>
      <c r="E608" s="8"/>
      <c r="F608" s="8"/>
      <c r="G608" s="8"/>
      <c r="H608" s="8"/>
      <c r="I608" s="8"/>
      <c r="J608" s="8"/>
      <c r="K608" s="8">
        <f t="shared" ref="K608:K610" si="249">IF(K598&gt;0,K$8/K598,0)</f>
        <v>0</v>
      </c>
    </row>
    <row r="609" spans="1:11" x14ac:dyDescent="0.25">
      <c r="A609" s="2" t="s">
        <v>19</v>
      </c>
      <c r="B609" s="8"/>
      <c r="C609" s="8"/>
      <c r="D609" s="8"/>
      <c r="E609" s="8"/>
      <c r="F609" s="8"/>
      <c r="G609" s="8"/>
      <c r="H609" s="8"/>
      <c r="I609" s="8"/>
      <c r="J609" s="8"/>
      <c r="K609" s="8">
        <f t="shared" si="249"/>
        <v>0</v>
      </c>
    </row>
    <row r="610" spans="1:11" x14ac:dyDescent="0.25">
      <c r="A610" s="2" t="s">
        <v>20</v>
      </c>
      <c r="B610" s="8"/>
      <c r="C610" s="8"/>
      <c r="D610" s="8"/>
      <c r="E610" s="8"/>
      <c r="F610" s="8"/>
      <c r="G610" s="8"/>
      <c r="H610" s="8"/>
      <c r="I610" s="8"/>
      <c r="J610" s="8"/>
      <c r="K610" s="8">
        <f t="shared" si="249"/>
        <v>0</v>
      </c>
    </row>
    <row r="611" spans="1:11" x14ac:dyDescent="0.25">
      <c r="A611" s="2" t="s">
        <v>22</v>
      </c>
      <c r="B611" s="8"/>
      <c r="C611" s="8"/>
      <c r="D611" s="8"/>
      <c r="E611" s="8"/>
      <c r="F611" s="8"/>
      <c r="G611" s="8"/>
      <c r="H611" s="8"/>
      <c r="I611" s="8"/>
      <c r="J611" s="8"/>
      <c r="K611" s="8">
        <f t="shared" ref="K611" si="250">IF(K601&gt;0,K602/K601,0)</f>
        <v>0</v>
      </c>
    </row>
    <row r="612" spans="1:11" x14ac:dyDescent="0.25">
      <c r="A612" s="2" t="s">
        <v>21</v>
      </c>
      <c r="B612" s="8"/>
      <c r="C612" s="8"/>
      <c r="D612" s="8"/>
      <c r="E612" s="8"/>
      <c r="F612" s="8"/>
      <c r="G612" s="8"/>
      <c r="H612" s="8"/>
      <c r="I612" s="8"/>
      <c r="J612" s="8"/>
      <c r="K612" s="8">
        <f t="shared" ref="K612" si="251">IF(K603&gt;0,(K602-K603)/K603,0)</f>
        <v>0</v>
      </c>
    </row>
    <row r="613" spans="1:11" x14ac:dyDescent="0.25">
      <c r="A613" s="2" t="s">
        <v>23</v>
      </c>
      <c r="B613" s="8"/>
      <c r="C613" s="8"/>
      <c r="D613" s="8"/>
      <c r="E613" s="8"/>
      <c r="F613" s="8"/>
      <c r="G613" s="8"/>
      <c r="H613" s="8"/>
      <c r="I613" s="8"/>
      <c r="J613" s="8"/>
      <c r="K613" s="8">
        <f t="shared" ref="K613" si="252">K602-K603</f>
        <v>0</v>
      </c>
    </row>
    <row r="614" spans="1:11" x14ac:dyDescent="0.25">
      <c r="A614" s="9" t="str">
        <f>VLOOKUP(INT((ROW()-1)/17)+1,Справочник!A:D,3,0)</f>
        <v>Октябрь неделя 1 (01-09 окт.)</v>
      </c>
      <c r="B614" s="9">
        <f t="shared" ref="B614" si="253">B$2</f>
        <v>0</v>
      </c>
      <c r="C614" s="9">
        <f t="shared" si="239"/>
        <v>0</v>
      </c>
      <c r="D614" s="9">
        <f t="shared" si="239"/>
        <v>0</v>
      </c>
      <c r="E614" s="9">
        <f t="shared" si="239"/>
        <v>0</v>
      </c>
      <c r="F614" s="9">
        <f t="shared" si="239"/>
        <v>0</v>
      </c>
      <c r="G614" s="9">
        <f t="shared" si="239"/>
        <v>0</v>
      </c>
      <c r="H614" s="9">
        <f t="shared" si="239"/>
        <v>0</v>
      </c>
      <c r="I614" s="9">
        <f t="shared" si="239"/>
        <v>0</v>
      </c>
      <c r="J614" s="9">
        <f t="shared" si="239"/>
        <v>0</v>
      </c>
      <c r="K614" s="9">
        <f>'Учет данных'!K616</f>
        <v>0</v>
      </c>
    </row>
    <row r="615" spans="1:11" x14ac:dyDescent="0.25">
      <c r="A615" s="1" t="s">
        <v>0</v>
      </c>
      <c r="B615" s="7"/>
      <c r="C615" s="7"/>
      <c r="D615" s="7"/>
      <c r="E615" s="7"/>
      <c r="F615" s="7"/>
      <c r="G615" s="7"/>
      <c r="H615" s="7"/>
      <c r="I615" s="7"/>
      <c r="J615" s="7"/>
      <c r="K615" s="7">
        <f t="shared" ref="K615" si="254">SUM(B615:J615)</f>
        <v>0</v>
      </c>
    </row>
    <row r="616" spans="1:11" x14ac:dyDescent="0.25">
      <c r="A616" s="1" t="s">
        <v>1</v>
      </c>
      <c r="B616" s="7"/>
      <c r="C616" s="7"/>
      <c r="D616" s="7"/>
      <c r="E616" s="7"/>
      <c r="F616" s="7"/>
      <c r="G616" s="7"/>
      <c r="H616" s="7"/>
      <c r="I616" s="7"/>
      <c r="J616" s="7"/>
      <c r="K616" s="7">
        <f t="shared" si="233"/>
        <v>0</v>
      </c>
    </row>
    <row r="617" spans="1:11" x14ac:dyDescent="0.25">
      <c r="A617" s="1" t="s">
        <v>2</v>
      </c>
      <c r="B617" s="7"/>
      <c r="C617" s="7"/>
      <c r="D617" s="7"/>
      <c r="E617" s="7"/>
      <c r="F617" s="7"/>
      <c r="G617" s="7"/>
      <c r="H617" s="7"/>
      <c r="I617" s="7"/>
      <c r="J617" s="7"/>
      <c r="K617" s="7">
        <f t="shared" si="233"/>
        <v>0</v>
      </c>
    </row>
    <row r="618" spans="1:11" x14ac:dyDescent="0.25">
      <c r="A618" s="1" t="s">
        <v>3</v>
      </c>
      <c r="B618" s="7"/>
      <c r="C618" s="7"/>
      <c r="D618" s="7"/>
      <c r="E618" s="7"/>
      <c r="F618" s="7"/>
      <c r="G618" s="7"/>
      <c r="H618" s="7"/>
      <c r="I618" s="7"/>
      <c r="J618" s="7"/>
      <c r="K618" s="7">
        <f t="shared" si="233"/>
        <v>0</v>
      </c>
    </row>
    <row r="619" spans="1:11" x14ac:dyDescent="0.25">
      <c r="A619" s="1" t="s">
        <v>4</v>
      </c>
      <c r="B619" s="7"/>
      <c r="C619" s="7"/>
      <c r="D619" s="7"/>
      <c r="E619" s="7"/>
      <c r="F619" s="7"/>
      <c r="G619" s="7"/>
      <c r="H619" s="7"/>
      <c r="I619" s="7"/>
      <c r="J619" s="7"/>
      <c r="K619" s="7">
        <f t="shared" si="233"/>
        <v>0</v>
      </c>
    </row>
    <row r="620" spans="1:11" x14ac:dyDescent="0.25">
      <c r="A620" s="1" t="s">
        <v>5</v>
      </c>
      <c r="B620" s="7"/>
      <c r="C620" s="7"/>
      <c r="D620" s="7"/>
      <c r="E620" s="7"/>
      <c r="F620" s="7"/>
      <c r="G620" s="7"/>
      <c r="H620" s="7"/>
      <c r="I620" s="7"/>
      <c r="J620" s="7"/>
      <c r="K620" s="7">
        <f t="shared" si="233"/>
        <v>0</v>
      </c>
    </row>
    <row r="622" spans="1:11" x14ac:dyDescent="0.25">
      <c r="A622" s="2" t="s">
        <v>15</v>
      </c>
      <c r="B622" s="6"/>
      <c r="C622" s="6"/>
      <c r="D622" s="6"/>
      <c r="E622" s="6"/>
      <c r="F622" s="6"/>
      <c r="G622" s="6"/>
      <c r="H622" s="6"/>
      <c r="I622" s="6"/>
      <c r="J622" s="6"/>
      <c r="K622" s="6">
        <f t="shared" ref="K622:K624" si="255">IF(K615&gt;0,K616/K615,0)</f>
        <v>0</v>
      </c>
    </row>
    <row r="623" spans="1:11" x14ac:dyDescent="0.25">
      <c r="A623" s="2" t="s">
        <v>16</v>
      </c>
      <c r="B623" s="6"/>
      <c r="C623" s="6"/>
      <c r="D623" s="6"/>
      <c r="E623" s="6"/>
      <c r="F623" s="6"/>
      <c r="G623" s="6"/>
      <c r="H623" s="6"/>
      <c r="I623" s="6"/>
      <c r="J623" s="6"/>
      <c r="K623" s="6">
        <f t="shared" si="255"/>
        <v>0</v>
      </c>
    </row>
    <row r="624" spans="1:11" x14ac:dyDescent="0.25">
      <c r="A624" s="2" t="s">
        <v>17</v>
      </c>
      <c r="B624" s="6"/>
      <c r="C624" s="6"/>
      <c r="D624" s="6"/>
      <c r="E624" s="6"/>
      <c r="F624" s="6"/>
      <c r="G624" s="6"/>
      <c r="H624" s="6"/>
      <c r="I624" s="6"/>
      <c r="J624" s="6"/>
      <c r="K624" s="6">
        <f t="shared" si="255"/>
        <v>0</v>
      </c>
    </row>
    <row r="625" spans="1:11" x14ac:dyDescent="0.25">
      <c r="A625" s="2" t="s">
        <v>18</v>
      </c>
      <c r="B625" s="8"/>
      <c r="C625" s="8"/>
      <c r="D625" s="8"/>
      <c r="E625" s="8"/>
      <c r="F625" s="8"/>
      <c r="G625" s="8"/>
      <c r="H625" s="8"/>
      <c r="I625" s="8"/>
      <c r="J625" s="8"/>
      <c r="K625" s="8">
        <f t="shared" ref="K625:K627" si="256">IF(K615&gt;0,K$8/K615,0)</f>
        <v>0</v>
      </c>
    </row>
    <row r="626" spans="1:11" x14ac:dyDescent="0.25">
      <c r="A626" s="2" t="s">
        <v>19</v>
      </c>
      <c r="B626" s="8"/>
      <c r="C626" s="8"/>
      <c r="D626" s="8"/>
      <c r="E626" s="8"/>
      <c r="F626" s="8"/>
      <c r="G626" s="8"/>
      <c r="H626" s="8"/>
      <c r="I626" s="8"/>
      <c r="J626" s="8"/>
      <c r="K626" s="8">
        <f t="shared" si="256"/>
        <v>0</v>
      </c>
    </row>
    <row r="627" spans="1:11" x14ac:dyDescent="0.25">
      <c r="A627" s="2" t="s">
        <v>20</v>
      </c>
      <c r="B627" s="8"/>
      <c r="C627" s="8"/>
      <c r="D627" s="8"/>
      <c r="E627" s="8"/>
      <c r="F627" s="8"/>
      <c r="G627" s="8"/>
      <c r="H627" s="8"/>
      <c r="I627" s="8"/>
      <c r="J627" s="8"/>
      <c r="K627" s="8">
        <f t="shared" si="256"/>
        <v>0</v>
      </c>
    </row>
    <row r="628" spans="1:11" x14ac:dyDescent="0.25">
      <c r="A628" s="2" t="s">
        <v>22</v>
      </c>
      <c r="B628" s="8"/>
      <c r="C628" s="8"/>
      <c r="D628" s="8"/>
      <c r="E628" s="8"/>
      <c r="F628" s="8"/>
      <c r="G628" s="8"/>
      <c r="H628" s="8"/>
      <c r="I628" s="8"/>
      <c r="J628" s="8"/>
      <c r="K628" s="8">
        <f t="shared" ref="K628" si="257">IF(K618&gt;0,K619/K618,0)</f>
        <v>0</v>
      </c>
    </row>
    <row r="629" spans="1:11" x14ac:dyDescent="0.25">
      <c r="A629" s="2" t="s">
        <v>21</v>
      </c>
      <c r="B629" s="8"/>
      <c r="C629" s="8"/>
      <c r="D629" s="8"/>
      <c r="E629" s="8"/>
      <c r="F629" s="8"/>
      <c r="G629" s="8"/>
      <c r="H629" s="8"/>
      <c r="I629" s="8"/>
      <c r="J629" s="8"/>
      <c r="K629" s="8">
        <f t="shared" ref="K629" si="258">IF(K620&gt;0,(K619-K620)/K620,0)</f>
        <v>0</v>
      </c>
    </row>
    <row r="630" spans="1:11" x14ac:dyDescent="0.25">
      <c r="A630" s="2" t="s">
        <v>23</v>
      </c>
      <c r="B630" s="8"/>
      <c r="C630" s="8"/>
      <c r="D630" s="8"/>
      <c r="E630" s="8"/>
      <c r="F630" s="8"/>
      <c r="G630" s="8"/>
      <c r="H630" s="8"/>
      <c r="I630" s="8"/>
      <c r="J630" s="8"/>
      <c r="K630" s="8">
        <f t="shared" ref="K630" si="259">K619-K620</f>
        <v>0</v>
      </c>
    </row>
    <row r="631" spans="1:11" x14ac:dyDescent="0.25">
      <c r="A631" s="9" t="str">
        <f>VLOOKUP(INT((ROW()-1)/17)+1,Справочник!A:D,3,0)</f>
        <v>Октябрь неделя 2 (10-16 окт.)</v>
      </c>
      <c r="B631" s="9">
        <f t="shared" ref="B631" si="260">B$2</f>
        <v>0</v>
      </c>
      <c r="C631" s="9">
        <f t="shared" si="239"/>
        <v>0</v>
      </c>
      <c r="D631" s="9">
        <f t="shared" si="239"/>
        <v>0</v>
      </c>
      <c r="E631" s="9">
        <f t="shared" si="239"/>
        <v>0</v>
      </c>
      <c r="F631" s="9">
        <f t="shared" si="239"/>
        <v>0</v>
      </c>
      <c r="G631" s="9">
        <f t="shared" si="239"/>
        <v>0</v>
      </c>
      <c r="H631" s="9">
        <f t="shared" si="239"/>
        <v>0</v>
      </c>
      <c r="I631" s="9">
        <f t="shared" si="239"/>
        <v>0</v>
      </c>
      <c r="J631" s="9">
        <f t="shared" si="239"/>
        <v>0</v>
      </c>
      <c r="K631" s="9">
        <f>'Учет данных'!K633</f>
        <v>0</v>
      </c>
    </row>
    <row r="632" spans="1:11" x14ac:dyDescent="0.25">
      <c r="A632" s="1" t="s">
        <v>0</v>
      </c>
      <c r="B632" s="7"/>
      <c r="C632" s="7"/>
      <c r="D632" s="7"/>
      <c r="E632" s="7"/>
      <c r="F632" s="7"/>
      <c r="G632" s="7"/>
      <c r="H632" s="7"/>
      <c r="I632" s="7"/>
      <c r="J632" s="7"/>
      <c r="K632" s="7">
        <f t="shared" ref="K632" si="261">SUM(B632:J632)</f>
        <v>0</v>
      </c>
    </row>
    <row r="633" spans="1:11" x14ac:dyDescent="0.25">
      <c r="A633" s="1" t="s">
        <v>1</v>
      </c>
      <c r="B633" s="7"/>
      <c r="C633" s="7"/>
      <c r="D633" s="7"/>
      <c r="E633" s="7"/>
      <c r="F633" s="7"/>
      <c r="G633" s="7"/>
      <c r="H633" s="7"/>
      <c r="I633" s="7"/>
      <c r="J633" s="7"/>
      <c r="K633" s="7">
        <f t="shared" ref="K633:K688" si="262">SUM(B633:J633)</f>
        <v>0</v>
      </c>
    </row>
    <row r="634" spans="1:11" x14ac:dyDescent="0.25">
      <c r="A634" s="1" t="s">
        <v>2</v>
      </c>
      <c r="B634" s="7"/>
      <c r="C634" s="7"/>
      <c r="D634" s="7"/>
      <c r="E634" s="7"/>
      <c r="F634" s="7"/>
      <c r="G634" s="7"/>
      <c r="H634" s="7"/>
      <c r="I634" s="7"/>
      <c r="J634" s="7"/>
      <c r="K634" s="7">
        <f t="shared" si="262"/>
        <v>0</v>
      </c>
    </row>
    <row r="635" spans="1:11" x14ac:dyDescent="0.25">
      <c r="A635" s="1" t="s">
        <v>3</v>
      </c>
      <c r="B635" s="7"/>
      <c r="C635" s="7"/>
      <c r="D635" s="7"/>
      <c r="E635" s="7"/>
      <c r="F635" s="7"/>
      <c r="G635" s="7"/>
      <c r="H635" s="7"/>
      <c r="I635" s="7"/>
      <c r="J635" s="7"/>
      <c r="K635" s="7">
        <f t="shared" si="262"/>
        <v>0</v>
      </c>
    </row>
    <row r="636" spans="1:11" x14ac:dyDescent="0.25">
      <c r="A636" s="1" t="s">
        <v>4</v>
      </c>
      <c r="B636" s="7"/>
      <c r="C636" s="7"/>
      <c r="D636" s="7"/>
      <c r="E636" s="7"/>
      <c r="F636" s="7"/>
      <c r="G636" s="7"/>
      <c r="H636" s="7"/>
      <c r="I636" s="7"/>
      <c r="J636" s="7"/>
      <c r="K636" s="7">
        <f t="shared" si="262"/>
        <v>0</v>
      </c>
    </row>
    <row r="637" spans="1:11" x14ac:dyDescent="0.25">
      <c r="A637" s="1" t="s">
        <v>5</v>
      </c>
      <c r="B637" s="7"/>
      <c r="C637" s="7"/>
      <c r="D637" s="7"/>
      <c r="E637" s="7"/>
      <c r="F637" s="7"/>
      <c r="G637" s="7"/>
      <c r="H637" s="7"/>
      <c r="I637" s="7"/>
      <c r="J637" s="7"/>
      <c r="K637" s="7">
        <f t="shared" si="262"/>
        <v>0</v>
      </c>
    </row>
    <row r="639" spans="1:11" x14ac:dyDescent="0.25">
      <c r="A639" s="2" t="s">
        <v>15</v>
      </c>
      <c r="B639" s="6"/>
      <c r="C639" s="6"/>
      <c r="D639" s="6"/>
      <c r="E639" s="6"/>
      <c r="F639" s="6"/>
      <c r="G639" s="6"/>
      <c r="H639" s="6"/>
      <c r="I639" s="6"/>
      <c r="J639" s="6"/>
      <c r="K639" s="6">
        <f t="shared" ref="K639:K641" si="263">IF(K632&gt;0,K633/K632,0)</f>
        <v>0</v>
      </c>
    </row>
    <row r="640" spans="1:11" x14ac:dyDescent="0.25">
      <c r="A640" s="2" t="s">
        <v>16</v>
      </c>
      <c r="B640" s="6"/>
      <c r="C640" s="6"/>
      <c r="D640" s="6"/>
      <c r="E640" s="6"/>
      <c r="F640" s="6"/>
      <c r="G640" s="6"/>
      <c r="H640" s="6"/>
      <c r="I640" s="6"/>
      <c r="J640" s="6"/>
      <c r="K640" s="6">
        <f t="shared" si="263"/>
        <v>0</v>
      </c>
    </row>
    <row r="641" spans="1:11" x14ac:dyDescent="0.25">
      <c r="A641" s="2" t="s">
        <v>17</v>
      </c>
      <c r="B641" s="6"/>
      <c r="C641" s="6"/>
      <c r="D641" s="6"/>
      <c r="E641" s="6"/>
      <c r="F641" s="6"/>
      <c r="G641" s="6"/>
      <c r="H641" s="6"/>
      <c r="I641" s="6"/>
      <c r="J641" s="6"/>
      <c r="K641" s="6">
        <f t="shared" si="263"/>
        <v>0</v>
      </c>
    </row>
    <row r="642" spans="1:11" x14ac:dyDescent="0.25">
      <c r="A642" s="2" t="s">
        <v>18</v>
      </c>
      <c r="B642" s="8"/>
      <c r="C642" s="8"/>
      <c r="D642" s="8"/>
      <c r="E642" s="8"/>
      <c r="F642" s="8"/>
      <c r="G642" s="8"/>
      <c r="H642" s="8"/>
      <c r="I642" s="8"/>
      <c r="J642" s="8"/>
      <c r="K642" s="8">
        <f t="shared" ref="K642:K644" si="264">IF(K632&gt;0,K$8/K632,0)</f>
        <v>0</v>
      </c>
    </row>
    <row r="643" spans="1:11" x14ac:dyDescent="0.25">
      <c r="A643" s="2" t="s">
        <v>19</v>
      </c>
      <c r="B643" s="8"/>
      <c r="C643" s="8"/>
      <c r="D643" s="8"/>
      <c r="E643" s="8"/>
      <c r="F643" s="8"/>
      <c r="G643" s="8"/>
      <c r="H643" s="8"/>
      <c r="I643" s="8"/>
      <c r="J643" s="8"/>
      <c r="K643" s="8">
        <f t="shared" si="264"/>
        <v>0</v>
      </c>
    </row>
    <row r="644" spans="1:11" x14ac:dyDescent="0.25">
      <c r="A644" s="2" t="s">
        <v>20</v>
      </c>
      <c r="B644" s="8"/>
      <c r="C644" s="8"/>
      <c r="D644" s="8"/>
      <c r="E644" s="8"/>
      <c r="F644" s="8"/>
      <c r="G644" s="8"/>
      <c r="H644" s="8"/>
      <c r="I644" s="8"/>
      <c r="J644" s="8"/>
      <c r="K644" s="8">
        <f t="shared" si="264"/>
        <v>0</v>
      </c>
    </row>
    <row r="645" spans="1:11" x14ac:dyDescent="0.25">
      <c r="A645" s="2" t="s">
        <v>22</v>
      </c>
      <c r="B645" s="8"/>
      <c r="C645" s="8"/>
      <c r="D645" s="8"/>
      <c r="E645" s="8"/>
      <c r="F645" s="8"/>
      <c r="G645" s="8"/>
      <c r="H645" s="8"/>
      <c r="I645" s="8"/>
      <c r="J645" s="8"/>
      <c r="K645" s="8">
        <f t="shared" ref="K645" si="265">IF(K635&gt;0,K636/K635,0)</f>
        <v>0</v>
      </c>
    </row>
    <row r="646" spans="1:11" x14ac:dyDescent="0.25">
      <c r="A646" s="2" t="s">
        <v>21</v>
      </c>
      <c r="B646" s="8"/>
      <c r="C646" s="8"/>
      <c r="D646" s="8"/>
      <c r="E646" s="8"/>
      <c r="F646" s="8"/>
      <c r="G646" s="8"/>
      <c r="H646" s="8"/>
      <c r="I646" s="8"/>
      <c r="J646" s="8"/>
      <c r="K646" s="8">
        <f t="shared" ref="K646" si="266">IF(K637&gt;0,(K636-K637)/K637,0)</f>
        <v>0</v>
      </c>
    </row>
    <row r="647" spans="1:11" x14ac:dyDescent="0.25">
      <c r="A647" s="2" t="s">
        <v>23</v>
      </c>
      <c r="B647" s="8"/>
      <c r="C647" s="8"/>
      <c r="D647" s="8"/>
      <c r="E647" s="8"/>
      <c r="F647" s="8"/>
      <c r="G647" s="8"/>
      <c r="H647" s="8"/>
      <c r="I647" s="8"/>
      <c r="J647" s="8"/>
      <c r="K647" s="8">
        <f t="shared" ref="K647" si="267">K636-K637</f>
        <v>0</v>
      </c>
    </row>
    <row r="648" spans="1:11" x14ac:dyDescent="0.25">
      <c r="A648" s="9" t="str">
        <f>VLOOKUP(INT((ROW()-1)/17)+1,Справочник!A:D,3,0)</f>
        <v>Октябрь неделя 3 (17-23 окт.)</v>
      </c>
      <c r="B648" s="9">
        <f t="shared" ref="B648:J665" si="268">B$2</f>
        <v>0</v>
      </c>
      <c r="C648" s="9">
        <f t="shared" si="268"/>
        <v>0</v>
      </c>
      <c r="D648" s="9">
        <f t="shared" si="268"/>
        <v>0</v>
      </c>
      <c r="E648" s="9">
        <f t="shared" si="268"/>
        <v>0</v>
      </c>
      <c r="F648" s="9">
        <f t="shared" si="268"/>
        <v>0</v>
      </c>
      <c r="G648" s="9">
        <f t="shared" si="268"/>
        <v>0</v>
      </c>
      <c r="H648" s="9">
        <f t="shared" si="268"/>
        <v>0</v>
      </c>
      <c r="I648" s="9">
        <f t="shared" si="268"/>
        <v>0</v>
      </c>
      <c r="J648" s="9">
        <f t="shared" si="268"/>
        <v>0</v>
      </c>
      <c r="K648" s="9">
        <f>'Учет данных'!K650</f>
        <v>0</v>
      </c>
    </row>
    <row r="649" spans="1:11" x14ac:dyDescent="0.25">
      <c r="A649" s="1" t="s">
        <v>0</v>
      </c>
      <c r="B649" s="7"/>
      <c r="C649" s="7"/>
      <c r="D649" s="7"/>
      <c r="E649" s="7"/>
      <c r="F649" s="7"/>
      <c r="G649" s="7"/>
      <c r="H649" s="7"/>
      <c r="I649" s="7"/>
      <c r="J649" s="7"/>
      <c r="K649" s="7">
        <f t="shared" ref="K649" si="269">SUM(B649:J649)</f>
        <v>0</v>
      </c>
    </row>
    <row r="650" spans="1:11" x14ac:dyDescent="0.25">
      <c r="A650" s="1" t="s">
        <v>1</v>
      </c>
      <c r="B650" s="7"/>
      <c r="C650" s="7"/>
      <c r="D650" s="7"/>
      <c r="E650" s="7"/>
      <c r="F650" s="7"/>
      <c r="G650" s="7"/>
      <c r="H650" s="7"/>
      <c r="I650" s="7"/>
      <c r="J650" s="7"/>
      <c r="K650" s="7">
        <f t="shared" si="262"/>
        <v>0</v>
      </c>
    </row>
    <row r="651" spans="1:11" x14ac:dyDescent="0.25">
      <c r="A651" s="1" t="s">
        <v>2</v>
      </c>
      <c r="B651" s="7"/>
      <c r="C651" s="7"/>
      <c r="D651" s="7"/>
      <c r="E651" s="7"/>
      <c r="F651" s="7"/>
      <c r="G651" s="7"/>
      <c r="H651" s="7"/>
      <c r="I651" s="7"/>
      <c r="J651" s="7"/>
      <c r="K651" s="7">
        <f t="shared" si="262"/>
        <v>0</v>
      </c>
    </row>
    <row r="652" spans="1:11" x14ac:dyDescent="0.25">
      <c r="A652" s="1" t="s">
        <v>3</v>
      </c>
      <c r="B652" s="7"/>
      <c r="C652" s="7"/>
      <c r="D652" s="7"/>
      <c r="E652" s="7"/>
      <c r="F652" s="7"/>
      <c r="G652" s="7"/>
      <c r="H652" s="7"/>
      <c r="I652" s="7"/>
      <c r="J652" s="7"/>
      <c r="K652" s="7">
        <f t="shared" si="262"/>
        <v>0</v>
      </c>
    </row>
    <row r="653" spans="1:11" x14ac:dyDescent="0.25">
      <c r="A653" s="1" t="s">
        <v>4</v>
      </c>
      <c r="B653" s="7"/>
      <c r="C653" s="7"/>
      <c r="D653" s="7"/>
      <c r="E653" s="7"/>
      <c r="F653" s="7"/>
      <c r="G653" s="7"/>
      <c r="H653" s="7"/>
      <c r="I653" s="7"/>
      <c r="J653" s="7"/>
      <c r="K653" s="7">
        <f t="shared" si="262"/>
        <v>0</v>
      </c>
    </row>
    <row r="654" spans="1:11" x14ac:dyDescent="0.25">
      <c r="A654" s="1" t="s">
        <v>5</v>
      </c>
      <c r="B654" s="7"/>
      <c r="C654" s="7"/>
      <c r="D654" s="7"/>
      <c r="E654" s="7"/>
      <c r="F654" s="7"/>
      <c r="G654" s="7"/>
      <c r="H654" s="7"/>
      <c r="I654" s="7"/>
      <c r="J654" s="7"/>
      <c r="K654" s="7">
        <f t="shared" si="262"/>
        <v>0</v>
      </c>
    </row>
    <row r="656" spans="1:11" x14ac:dyDescent="0.25">
      <c r="A656" s="2" t="s">
        <v>15</v>
      </c>
      <c r="B656" s="6"/>
      <c r="C656" s="6"/>
      <c r="D656" s="6"/>
      <c r="E656" s="6"/>
      <c r="F656" s="6"/>
      <c r="G656" s="6"/>
      <c r="H656" s="6"/>
      <c r="I656" s="6"/>
      <c r="J656" s="6"/>
      <c r="K656" s="6">
        <f t="shared" ref="K656:K658" si="270">IF(K649&gt;0,K650/K649,0)</f>
        <v>0</v>
      </c>
    </row>
    <row r="657" spans="1:11" x14ac:dyDescent="0.25">
      <c r="A657" s="2" t="s">
        <v>16</v>
      </c>
      <c r="B657" s="6"/>
      <c r="C657" s="6"/>
      <c r="D657" s="6"/>
      <c r="E657" s="6"/>
      <c r="F657" s="6"/>
      <c r="G657" s="6"/>
      <c r="H657" s="6"/>
      <c r="I657" s="6"/>
      <c r="J657" s="6"/>
      <c r="K657" s="6">
        <f t="shared" si="270"/>
        <v>0</v>
      </c>
    </row>
    <row r="658" spans="1:11" x14ac:dyDescent="0.25">
      <c r="A658" s="2" t="s">
        <v>17</v>
      </c>
      <c r="B658" s="6"/>
      <c r="C658" s="6"/>
      <c r="D658" s="6"/>
      <c r="E658" s="6"/>
      <c r="F658" s="6"/>
      <c r="G658" s="6"/>
      <c r="H658" s="6"/>
      <c r="I658" s="6"/>
      <c r="J658" s="6"/>
      <c r="K658" s="6">
        <f t="shared" si="270"/>
        <v>0</v>
      </c>
    </row>
    <row r="659" spans="1:11" x14ac:dyDescent="0.25">
      <c r="A659" s="2" t="s">
        <v>18</v>
      </c>
      <c r="B659" s="8"/>
      <c r="C659" s="8"/>
      <c r="D659" s="8"/>
      <c r="E659" s="8"/>
      <c r="F659" s="8"/>
      <c r="G659" s="8"/>
      <c r="H659" s="8"/>
      <c r="I659" s="8"/>
      <c r="J659" s="8"/>
      <c r="K659" s="8">
        <f t="shared" ref="K659:K661" si="271">IF(K649&gt;0,K$8/K649,0)</f>
        <v>0</v>
      </c>
    </row>
    <row r="660" spans="1:11" x14ac:dyDescent="0.25">
      <c r="A660" s="2" t="s">
        <v>19</v>
      </c>
      <c r="B660" s="8"/>
      <c r="C660" s="8"/>
      <c r="D660" s="8"/>
      <c r="E660" s="8"/>
      <c r="F660" s="8"/>
      <c r="G660" s="8"/>
      <c r="H660" s="8"/>
      <c r="I660" s="8"/>
      <c r="J660" s="8"/>
      <c r="K660" s="8">
        <f t="shared" si="271"/>
        <v>0</v>
      </c>
    </row>
    <row r="661" spans="1:11" x14ac:dyDescent="0.25">
      <c r="A661" s="2" t="s">
        <v>20</v>
      </c>
      <c r="B661" s="8"/>
      <c r="C661" s="8"/>
      <c r="D661" s="8"/>
      <c r="E661" s="8"/>
      <c r="F661" s="8"/>
      <c r="G661" s="8"/>
      <c r="H661" s="8"/>
      <c r="I661" s="8"/>
      <c r="J661" s="8"/>
      <c r="K661" s="8">
        <f t="shared" si="271"/>
        <v>0</v>
      </c>
    </row>
    <row r="662" spans="1:11" x14ac:dyDescent="0.25">
      <c r="A662" s="2" t="s">
        <v>22</v>
      </c>
      <c r="B662" s="8"/>
      <c r="C662" s="8"/>
      <c r="D662" s="8"/>
      <c r="E662" s="8"/>
      <c r="F662" s="8"/>
      <c r="G662" s="8"/>
      <c r="H662" s="8"/>
      <c r="I662" s="8"/>
      <c r="J662" s="8"/>
      <c r="K662" s="8">
        <f t="shared" ref="K662" si="272">IF(K652&gt;0,K653/K652,0)</f>
        <v>0</v>
      </c>
    </row>
    <row r="663" spans="1:11" x14ac:dyDescent="0.25">
      <c r="A663" s="2" t="s">
        <v>21</v>
      </c>
      <c r="B663" s="8"/>
      <c r="C663" s="8"/>
      <c r="D663" s="8"/>
      <c r="E663" s="8"/>
      <c r="F663" s="8"/>
      <c r="G663" s="8"/>
      <c r="H663" s="8"/>
      <c r="I663" s="8"/>
      <c r="J663" s="8"/>
      <c r="K663" s="8">
        <f t="shared" ref="K663" si="273">IF(K654&gt;0,(K653-K654)/K654,0)</f>
        <v>0</v>
      </c>
    </row>
    <row r="664" spans="1:11" x14ac:dyDescent="0.25">
      <c r="A664" s="2" t="s">
        <v>23</v>
      </c>
      <c r="B664" s="8"/>
      <c r="C664" s="8"/>
      <c r="D664" s="8"/>
      <c r="E664" s="8"/>
      <c r="F664" s="8"/>
      <c r="G664" s="8"/>
      <c r="H664" s="8"/>
      <c r="I664" s="8"/>
      <c r="J664" s="8"/>
      <c r="K664" s="8">
        <f t="shared" ref="K664" si="274">K653-K654</f>
        <v>0</v>
      </c>
    </row>
    <row r="665" spans="1:11" x14ac:dyDescent="0.25">
      <c r="A665" s="9" t="str">
        <f>VLOOKUP(INT((ROW()-1)/17)+1,Справочник!A:D,3,0)</f>
        <v>Октябрь неделя 4 (24-31 окт.)</v>
      </c>
      <c r="B665" s="9">
        <f t="shared" ref="B665" si="275">B$2</f>
        <v>0</v>
      </c>
      <c r="C665" s="9">
        <f t="shared" si="268"/>
        <v>0</v>
      </c>
      <c r="D665" s="9">
        <f t="shared" si="268"/>
        <v>0</v>
      </c>
      <c r="E665" s="9">
        <f t="shared" si="268"/>
        <v>0</v>
      </c>
      <c r="F665" s="9">
        <f t="shared" si="268"/>
        <v>0</v>
      </c>
      <c r="G665" s="9">
        <f t="shared" si="268"/>
        <v>0</v>
      </c>
      <c r="H665" s="9">
        <f t="shared" si="268"/>
        <v>0</v>
      </c>
      <c r="I665" s="9">
        <f t="shared" si="268"/>
        <v>0</v>
      </c>
      <c r="J665" s="9">
        <f t="shared" si="268"/>
        <v>0</v>
      </c>
      <c r="K665" s="9">
        <f>'Учет данных'!K667</f>
        <v>0</v>
      </c>
    </row>
    <row r="666" spans="1:11" x14ac:dyDescent="0.25">
      <c r="A666" s="1" t="s">
        <v>0</v>
      </c>
      <c r="B666" s="7"/>
      <c r="C666" s="7"/>
      <c r="D666" s="7"/>
      <c r="E666" s="7"/>
      <c r="F666" s="7"/>
      <c r="G666" s="7"/>
      <c r="H666" s="7"/>
      <c r="I666" s="7"/>
      <c r="J666" s="7"/>
      <c r="K666" s="7">
        <f t="shared" ref="K666" si="276">SUM(B666:J666)</f>
        <v>0</v>
      </c>
    </row>
    <row r="667" spans="1:11" x14ac:dyDescent="0.25">
      <c r="A667" s="1" t="s">
        <v>1</v>
      </c>
      <c r="B667" s="7"/>
      <c r="C667" s="7"/>
      <c r="D667" s="7"/>
      <c r="E667" s="7"/>
      <c r="F667" s="7"/>
      <c r="G667" s="7"/>
      <c r="H667" s="7"/>
      <c r="I667" s="7"/>
      <c r="J667" s="7"/>
      <c r="K667" s="7">
        <f t="shared" si="262"/>
        <v>0</v>
      </c>
    </row>
    <row r="668" spans="1:11" x14ac:dyDescent="0.25">
      <c r="A668" s="1" t="s">
        <v>2</v>
      </c>
      <c r="B668" s="7"/>
      <c r="C668" s="7"/>
      <c r="D668" s="7"/>
      <c r="E668" s="7"/>
      <c r="F668" s="7"/>
      <c r="G668" s="7"/>
      <c r="H668" s="7"/>
      <c r="I668" s="7"/>
      <c r="J668" s="7"/>
      <c r="K668" s="7">
        <f t="shared" si="262"/>
        <v>0</v>
      </c>
    </row>
    <row r="669" spans="1:11" x14ac:dyDescent="0.25">
      <c r="A669" s="1" t="s">
        <v>3</v>
      </c>
      <c r="B669" s="7"/>
      <c r="C669" s="7"/>
      <c r="D669" s="7"/>
      <c r="E669" s="7"/>
      <c r="F669" s="7"/>
      <c r="G669" s="7"/>
      <c r="H669" s="7"/>
      <c r="I669" s="7"/>
      <c r="J669" s="7"/>
      <c r="K669" s="7">
        <f t="shared" si="262"/>
        <v>0</v>
      </c>
    </row>
    <row r="670" spans="1:11" x14ac:dyDescent="0.25">
      <c r="A670" s="1" t="s">
        <v>4</v>
      </c>
      <c r="B670" s="7"/>
      <c r="C670" s="7"/>
      <c r="D670" s="7"/>
      <c r="E670" s="7"/>
      <c r="F670" s="7"/>
      <c r="G670" s="7"/>
      <c r="H670" s="7"/>
      <c r="I670" s="7"/>
      <c r="J670" s="7"/>
      <c r="K670" s="7">
        <f t="shared" si="262"/>
        <v>0</v>
      </c>
    </row>
    <row r="671" spans="1:11" x14ac:dyDescent="0.25">
      <c r="A671" s="1" t="s">
        <v>5</v>
      </c>
      <c r="B671" s="7"/>
      <c r="C671" s="7"/>
      <c r="D671" s="7"/>
      <c r="E671" s="7"/>
      <c r="F671" s="7"/>
      <c r="G671" s="7"/>
      <c r="H671" s="7"/>
      <c r="I671" s="7"/>
      <c r="J671" s="7"/>
      <c r="K671" s="7">
        <f t="shared" si="262"/>
        <v>0</v>
      </c>
    </row>
    <row r="673" spans="1:11" x14ac:dyDescent="0.25">
      <c r="A673" s="2" t="s">
        <v>15</v>
      </c>
      <c r="B673" s="6"/>
      <c r="C673" s="6"/>
      <c r="D673" s="6"/>
      <c r="E673" s="6"/>
      <c r="F673" s="6"/>
      <c r="G673" s="6"/>
      <c r="H673" s="6"/>
      <c r="I673" s="6"/>
      <c r="J673" s="6"/>
      <c r="K673" s="6">
        <f t="shared" ref="K673:K675" si="277">IF(K666&gt;0,K667/K666,0)</f>
        <v>0</v>
      </c>
    </row>
    <row r="674" spans="1:11" x14ac:dyDescent="0.25">
      <c r="A674" s="2" t="s">
        <v>16</v>
      </c>
      <c r="B674" s="6"/>
      <c r="C674" s="6"/>
      <c r="D674" s="6"/>
      <c r="E674" s="6"/>
      <c r="F674" s="6"/>
      <c r="G674" s="6"/>
      <c r="H674" s="6"/>
      <c r="I674" s="6"/>
      <c r="J674" s="6"/>
      <c r="K674" s="6">
        <f t="shared" si="277"/>
        <v>0</v>
      </c>
    </row>
    <row r="675" spans="1:11" x14ac:dyDescent="0.25">
      <c r="A675" s="2" t="s">
        <v>17</v>
      </c>
      <c r="B675" s="6"/>
      <c r="C675" s="6"/>
      <c r="D675" s="6"/>
      <c r="E675" s="6"/>
      <c r="F675" s="6"/>
      <c r="G675" s="6"/>
      <c r="H675" s="6"/>
      <c r="I675" s="6"/>
      <c r="J675" s="6"/>
      <c r="K675" s="6">
        <f t="shared" si="277"/>
        <v>0</v>
      </c>
    </row>
    <row r="676" spans="1:11" x14ac:dyDescent="0.25">
      <c r="A676" s="2" t="s">
        <v>18</v>
      </c>
      <c r="B676" s="8"/>
      <c r="C676" s="8"/>
      <c r="D676" s="8"/>
      <c r="E676" s="8"/>
      <c r="F676" s="8"/>
      <c r="G676" s="8"/>
      <c r="H676" s="8"/>
      <c r="I676" s="8"/>
      <c r="J676" s="8"/>
      <c r="K676" s="8">
        <f t="shared" ref="K676:K678" si="278">IF(K666&gt;0,K$8/K666,0)</f>
        <v>0</v>
      </c>
    </row>
    <row r="677" spans="1:11" x14ac:dyDescent="0.25">
      <c r="A677" s="2" t="s">
        <v>19</v>
      </c>
      <c r="B677" s="8"/>
      <c r="C677" s="8"/>
      <c r="D677" s="8"/>
      <c r="E677" s="8"/>
      <c r="F677" s="8"/>
      <c r="G677" s="8"/>
      <c r="H677" s="8"/>
      <c r="I677" s="8"/>
      <c r="J677" s="8"/>
      <c r="K677" s="8">
        <f t="shared" si="278"/>
        <v>0</v>
      </c>
    </row>
    <row r="678" spans="1:11" x14ac:dyDescent="0.25">
      <c r="A678" s="2" t="s">
        <v>20</v>
      </c>
      <c r="B678" s="8"/>
      <c r="C678" s="8"/>
      <c r="D678" s="8"/>
      <c r="E678" s="8"/>
      <c r="F678" s="8"/>
      <c r="G678" s="8"/>
      <c r="H678" s="8"/>
      <c r="I678" s="8"/>
      <c r="J678" s="8"/>
      <c r="K678" s="8">
        <f t="shared" si="278"/>
        <v>0</v>
      </c>
    </row>
    <row r="679" spans="1:11" x14ac:dyDescent="0.25">
      <c r="A679" s="2" t="s">
        <v>22</v>
      </c>
      <c r="B679" s="8"/>
      <c r="C679" s="8"/>
      <c r="D679" s="8"/>
      <c r="E679" s="8"/>
      <c r="F679" s="8"/>
      <c r="G679" s="8"/>
      <c r="H679" s="8"/>
      <c r="I679" s="8"/>
      <c r="J679" s="8"/>
      <c r="K679" s="8">
        <f t="shared" ref="K679" si="279">IF(K669&gt;0,K670/K669,0)</f>
        <v>0</v>
      </c>
    </row>
    <row r="680" spans="1:11" x14ac:dyDescent="0.25">
      <c r="A680" s="2" t="s">
        <v>21</v>
      </c>
      <c r="B680" s="8"/>
      <c r="C680" s="8"/>
      <c r="D680" s="8"/>
      <c r="E680" s="8"/>
      <c r="F680" s="8"/>
      <c r="G680" s="8"/>
      <c r="H680" s="8"/>
      <c r="I680" s="8"/>
      <c r="J680" s="8"/>
      <c r="K680" s="8">
        <f t="shared" ref="K680" si="280">IF(K671&gt;0,(K670-K671)/K671,0)</f>
        <v>0</v>
      </c>
    </row>
    <row r="681" spans="1:11" x14ac:dyDescent="0.25">
      <c r="A681" s="2" t="s">
        <v>23</v>
      </c>
      <c r="B681" s="8"/>
      <c r="C681" s="8"/>
      <c r="D681" s="8"/>
      <c r="E681" s="8"/>
      <c r="F681" s="8"/>
      <c r="G681" s="8"/>
      <c r="H681" s="8"/>
      <c r="I681" s="8"/>
      <c r="J681" s="8"/>
      <c r="K681" s="8">
        <f t="shared" ref="K681" si="281">K670-K671</f>
        <v>0</v>
      </c>
    </row>
    <row r="682" spans="1:11" x14ac:dyDescent="0.25">
      <c r="A682" s="9" t="str">
        <f>VLOOKUP(INT((ROW()-1)/17)+1,Справочник!A:D,3,0)</f>
        <v>Ноябрь неделя 1 (01-06 ноя.)</v>
      </c>
      <c r="B682" s="9">
        <f t="shared" ref="B682:J699" si="282">B$2</f>
        <v>0</v>
      </c>
      <c r="C682" s="9">
        <f t="shared" si="282"/>
        <v>0</v>
      </c>
      <c r="D682" s="9">
        <f t="shared" si="282"/>
        <v>0</v>
      </c>
      <c r="E682" s="9">
        <f t="shared" si="282"/>
        <v>0</v>
      </c>
      <c r="F682" s="9">
        <f t="shared" si="282"/>
        <v>0</v>
      </c>
      <c r="G682" s="9">
        <f t="shared" si="282"/>
        <v>0</v>
      </c>
      <c r="H682" s="9">
        <f t="shared" si="282"/>
        <v>0</v>
      </c>
      <c r="I682" s="9">
        <f t="shared" si="282"/>
        <v>0</v>
      </c>
      <c r="J682" s="9">
        <f t="shared" si="282"/>
        <v>0</v>
      </c>
      <c r="K682" s="9">
        <f>'Учет данных'!K684</f>
        <v>0</v>
      </c>
    </row>
    <row r="683" spans="1:11" x14ac:dyDescent="0.25">
      <c r="A683" s="1" t="s">
        <v>0</v>
      </c>
      <c r="B683" s="7"/>
      <c r="C683" s="7"/>
      <c r="D683" s="7"/>
      <c r="E683" s="7"/>
      <c r="F683" s="7"/>
      <c r="G683" s="7"/>
      <c r="H683" s="7"/>
      <c r="I683" s="7"/>
      <c r="J683" s="7"/>
      <c r="K683" s="7">
        <f t="shared" ref="K683" si="283">SUM(B683:J683)</f>
        <v>0</v>
      </c>
    </row>
    <row r="684" spans="1:11" x14ac:dyDescent="0.25">
      <c r="A684" s="1" t="s">
        <v>1</v>
      </c>
      <c r="B684" s="7"/>
      <c r="C684" s="7"/>
      <c r="D684" s="7"/>
      <c r="E684" s="7"/>
      <c r="F684" s="7"/>
      <c r="G684" s="7"/>
      <c r="H684" s="7"/>
      <c r="I684" s="7"/>
      <c r="J684" s="7"/>
      <c r="K684" s="7">
        <f t="shared" si="262"/>
        <v>0</v>
      </c>
    </row>
    <row r="685" spans="1:11" x14ac:dyDescent="0.25">
      <c r="A685" s="1" t="s">
        <v>2</v>
      </c>
      <c r="B685" s="7"/>
      <c r="C685" s="7"/>
      <c r="D685" s="7"/>
      <c r="E685" s="7"/>
      <c r="F685" s="7"/>
      <c r="G685" s="7"/>
      <c r="H685" s="7"/>
      <c r="I685" s="7"/>
      <c r="J685" s="7"/>
      <c r="K685" s="7">
        <f t="shared" si="262"/>
        <v>0</v>
      </c>
    </row>
    <row r="686" spans="1:11" x14ac:dyDescent="0.25">
      <c r="A686" s="1" t="s">
        <v>3</v>
      </c>
      <c r="B686" s="7"/>
      <c r="C686" s="7"/>
      <c r="D686" s="7"/>
      <c r="E686" s="7"/>
      <c r="F686" s="7"/>
      <c r="G686" s="7"/>
      <c r="H686" s="7"/>
      <c r="I686" s="7"/>
      <c r="J686" s="7"/>
      <c r="K686" s="7">
        <f t="shared" si="262"/>
        <v>0</v>
      </c>
    </row>
    <row r="687" spans="1:11" x14ac:dyDescent="0.25">
      <c r="A687" s="1" t="s">
        <v>4</v>
      </c>
      <c r="B687" s="7"/>
      <c r="C687" s="7"/>
      <c r="D687" s="7"/>
      <c r="E687" s="7"/>
      <c r="F687" s="7"/>
      <c r="G687" s="7"/>
      <c r="H687" s="7"/>
      <c r="I687" s="7"/>
      <c r="J687" s="7"/>
      <c r="K687" s="7">
        <f t="shared" si="262"/>
        <v>0</v>
      </c>
    </row>
    <row r="688" spans="1:11" x14ac:dyDescent="0.25">
      <c r="A688" s="1" t="s">
        <v>5</v>
      </c>
      <c r="B688" s="7"/>
      <c r="C688" s="7"/>
      <c r="D688" s="7"/>
      <c r="E688" s="7"/>
      <c r="F688" s="7"/>
      <c r="G688" s="7"/>
      <c r="H688" s="7"/>
      <c r="I688" s="7"/>
      <c r="J688" s="7"/>
      <c r="K688" s="7">
        <f t="shared" si="262"/>
        <v>0</v>
      </c>
    </row>
    <row r="690" spans="1:11" x14ac:dyDescent="0.25">
      <c r="A690" s="2" t="s">
        <v>15</v>
      </c>
      <c r="B690" s="6"/>
      <c r="C690" s="6"/>
      <c r="D690" s="6"/>
      <c r="E690" s="6"/>
      <c r="F690" s="6"/>
      <c r="G690" s="6"/>
      <c r="H690" s="6"/>
      <c r="I690" s="6"/>
      <c r="J690" s="6"/>
      <c r="K690" s="6">
        <f t="shared" ref="K690:K692" si="284">IF(K683&gt;0,K684/K683,0)</f>
        <v>0</v>
      </c>
    </row>
    <row r="691" spans="1:11" x14ac:dyDescent="0.25">
      <c r="A691" s="2" t="s">
        <v>16</v>
      </c>
      <c r="B691" s="6"/>
      <c r="C691" s="6"/>
      <c r="D691" s="6"/>
      <c r="E691" s="6"/>
      <c r="F691" s="6"/>
      <c r="G691" s="6"/>
      <c r="H691" s="6"/>
      <c r="I691" s="6"/>
      <c r="J691" s="6"/>
      <c r="K691" s="6">
        <f t="shared" si="284"/>
        <v>0</v>
      </c>
    </row>
    <row r="692" spans="1:11" x14ac:dyDescent="0.25">
      <c r="A692" s="2" t="s">
        <v>17</v>
      </c>
      <c r="B692" s="6"/>
      <c r="C692" s="6"/>
      <c r="D692" s="6"/>
      <c r="E692" s="6"/>
      <c r="F692" s="6"/>
      <c r="G692" s="6"/>
      <c r="H692" s="6"/>
      <c r="I692" s="6"/>
      <c r="J692" s="6"/>
      <c r="K692" s="6">
        <f t="shared" si="284"/>
        <v>0</v>
      </c>
    </row>
    <row r="693" spans="1:11" x14ac:dyDescent="0.25">
      <c r="A693" s="2" t="s">
        <v>18</v>
      </c>
      <c r="B693" s="8"/>
      <c r="C693" s="8"/>
      <c r="D693" s="8"/>
      <c r="E693" s="8"/>
      <c r="F693" s="8"/>
      <c r="G693" s="8"/>
      <c r="H693" s="8"/>
      <c r="I693" s="8"/>
      <c r="J693" s="8"/>
      <c r="K693" s="8">
        <f t="shared" ref="K693:K695" si="285">IF(K683&gt;0,K$8/K683,0)</f>
        <v>0</v>
      </c>
    </row>
    <row r="694" spans="1:11" x14ac:dyDescent="0.25">
      <c r="A694" s="2" t="s">
        <v>19</v>
      </c>
      <c r="B694" s="8"/>
      <c r="C694" s="8"/>
      <c r="D694" s="8"/>
      <c r="E694" s="8"/>
      <c r="F694" s="8"/>
      <c r="G694" s="8"/>
      <c r="H694" s="8"/>
      <c r="I694" s="8"/>
      <c r="J694" s="8"/>
      <c r="K694" s="8">
        <f t="shared" si="285"/>
        <v>0</v>
      </c>
    </row>
    <row r="695" spans="1:11" x14ac:dyDescent="0.25">
      <c r="A695" s="2" t="s">
        <v>20</v>
      </c>
      <c r="B695" s="8"/>
      <c r="C695" s="8"/>
      <c r="D695" s="8"/>
      <c r="E695" s="8"/>
      <c r="F695" s="8"/>
      <c r="G695" s="8"/>
      <c r="H695" s="8"/>
      <c r="I695" s="8"/>
      <c r="J695" s="8"/>
      <c r="K695" s="8">
        <f t="shared" si="285"/>
        <v>0</v>
      </c>
    </row>
    <row r="696" spans="1:11" x14ac:dyDescent="0.25">
      <c r="A696" s="2" t="s">
        <v>22</v>
      </c>
      <c r="B696" s="8"/>
      <c r="C696" s="8"/>
      <c r="D696" s="8"/>
      <c r="E696" s="8"/>
      <c r="F696" s="8"/>
      <c r="G696" s="8"/>
      <c r="H696" s="8"/>
      <c r="I696" s="8"/>
      <c r="J696" s="8"/>
      <c r="K696" s="8">
        <f t="shared" ref="K696" si="286">IF(K686&gt;0,K687/K686,0)</f>
        <v>0</v>
      </c>
    </row>
    <row r="697" spans="1:11" x14ac:dyDescent="0.25">
      <c r="A697" s="2" t="s">
        <v>21</v>
      </c>
      <c r="B697" s="8"/>
      <c r="C697" s="8"/>
      <c r="D697" s="8"/>
      <c r="E697" s="8"/>
      <c r="F697" s="8"/>
      <c r="G697" s="8"/>
      <c r="H697" s="8"/>
      <c r="I697" s="8"/>
      <c r="J697" s="8"/>
      <c r="K697" s="8">
        <f t="shared" ref="K697" si="287">IF(K688&gt;0,(K687-K688)/K688,0)</f>
        <v>0</v>
      </c>
    </row>
    <row r="698" spans="1:11" x14ac:dyDescent="0.25">
      <c r="A698" s="2" t="s">
        <v>23</v>
      </c>
      <c r="B698" s="8"/>
      <c r="C698" s="8"/>
      <c r="D698" s="8"/>
      <c r="E698" s="8"/>
      <c r="F698" s="8"/>
      <c r="G698" s="8"/>
      <c r="H698" s="8"/>
      <c r="I698" s="8"/>
      <c r="J698" s="8"/>
      <c r="K698" s="8">
        <f t="shared" ref="K698" si="288">K687-K688</f>
        <v>0</v>
      </c>
    </row>
    <row r="699" spans="1:11" x14ac:dyDescent="0.25">
      <c r="A699" s="9" t="str">
        <f>VLOOKUP(INT((ROW()-1)/17)+1,Справочник!A:D,3,0)</f>
        <v>Ноябрь неделя 2 (07-13 ноя.)</v>
      </c>
      <c r="B699" s="9">
        <f t="shared" ref="B699" si="289">B$2</f>
        <v>0</v>
      </c>
      <c r="C699" s="9">
        <f t="shared" si="282"/>
        <v>0</v>
      </c>
      <c r="D699" s="9">
        <f t="shared" si="282"/>
        <v>0</v>
      </c>
      <c r="E699" s="9">
        <f t="shared" si="282"/>
        <v>0</v>
      </c>
      <c r="F699" s="9">
        <f t="shared" si="282"/>
        <v>0</v>
      </c>
      <c r="G699" s="9">
        <f t="shared" si="282"/>
        <v>0</v>
      </c>
      <c r="H699" s="9">
        <f t="shared" si="282"/>
        <v>0</v>
      </c>
      <c r="I699" s="9">
        <f t="shared" si="282"/>
        <v>0</v>
      </c>
      <c r="J699" s="9">
        <f t="shared" si="282"/>
        <v>0</v>
      </c>
      <c r="K699" s="9">
        <f>'Учет данных'!K701</f>
        <v>0</v>
      </c>
    </row>
    <row r="700" spans="1:11" x14ac:dyDescent="0.25">
      <c r="A700" s="1" t="s">
        <v>0</v>
      </c>
      <c r="B700" s="7"/>
      <c r="C700" s="7"/>
      <c r="D700" s="7"/>
      <c r="E700" s="7"/>
      <c r="F700" s="7"/>
      <c r="G700" s="7"/>
      <c r="H700" s="7"/>
      <c r="I700" s="7"/>
      <c r="J700" s="7"/>
      <c r="K700" s="7">
        <f t="shared" ref="K700" si="290">SUM(B700:J700)</f>
        <v>0</v>
      </c>
    </row>
    <row r="701" spans="1:11" x14ac:dyDescent="0.25">
      <c r="A701" s="1" t="s">
        <v>1</v>
      </c>
      <c r="B701" s="7"/>
      <c r="C701" s="7"/>
      <c r="D701" s="7"/>
      <c r="E701" s="7"/>
      <c r="F701" s="7"/>
      <c r="G701" s="7"/>
      <c r="H701" s="7"/>
      <c r="I701" s="7"/>
      <c r="J701" s="7"/>
      <c r="K701" s="7">
        <f t="shared" ref="K701:K756" si="291">SUM(B701:J701)</f>
        <v>0</v>
      </c>
    </row>
    <row r="702" spans="1:11" x14ac:dyDescent="0.25">
      <c r="A702" s="1" t="s">
        <v>2</v>
      </c>
      <c r="B702" s="7"/>
      <c r="C702" s="7"/>
      <c r="D702" s="7"/>
      <c r="E702" s="7"/>
      <c r="F702" s="7"/>
      <c r="G702" s="7"/>
      <c r="H702" s="7"/>
      <c r="I702" s="7"/>
      <c r="J702" s="7"/>
      <c r="K702" s="7">
        <f t="shared" si="291"/>
        <v>0</v>
      </c>
    </row>
    <row r="703" spans="1:11" x14ac:dyDescent="0.25">
      <c r="A703" s="1" t="s">
        <v>3</v>
      </c>
      <c r="B703" s="7"/>
      <c r="C703" s="7"/>
      <c r="D703" s="7"/>
      <c r="E703" s="7"/>
      <c r="F703" s="7"/>
      <c r="G703" s="7"/>
      <c r="H703" s="7"/>
      <c r="I703" s="7"/>
      <c r="J703" s="7"/>
      <c r="K703" s="7">
        <f t="shared" si="291"/>
        <v>0</v>
      </c>
    </row>
    <row r="704" spans="1:11" x14ac:dyDescent="0.25">
      <c r="A704" s="1" t="s">
        <v>4</v>
      </c>
      <c r="B704" s="7"/>
      <c r="C704" s="7"/>
      <c r="D704" s="7"/>
      <c r="E704" s="7"/>
      <c r="F704" s="7"/>
      <c r="G704" s="7"/>
      <c r="H704" s="7"/>
      <c r="I704" s="7"/>
      <c r="J704" s="7"/>
      <c r="K704" s="7">
        <f t="shared" si="291"/>
        <v>0</v>
      </c>
    </row>
    <row r="705" spans="1:11" x14ac:dyDescent="0.25">
      <c r="A705" s="1" t="s">
        <v>5</v>
      </c>
      <c r="B705" s="7"/>
      <c r="C705" s="7"/>
      <c r="D705" s="7"/>
      <c r="E705" s="7"/>
      <c r="F705" s="7"/>
      <c r="G705" s="7"/>
      <c r="H705" s="7"/>
      <c r="I705" s="7"/>
      <c r="J705" s="7"/>
      <c r="K705" s="7">
        <f t="shared" si="291"/>
        <v>0</v>
      </c>
    </row>
    <row r="707" spans="1:11" x14ac:dyDescent="0.25">
      <c r="A707" s="2" t="s">
        <v>15</v>
      </c>
      <c r="B707" s="6"/>
      <c r="C707" s="6"/>
      <c r="D707" s="6"/>
      <c r="E707" s="6"/>
      <c r="F707" s="6"/>
      <c r="G707" s="6"/>
      <c r="H707" s="6"/>
      <c r="I707" s="6"/>
      <c r="J707" s="6"/>
      <c r="K707" s="6">
        <f t="shared" ref="K707:K709" si="292">IF(K700&gt;0,K701/K700,0)</f>
        <v>0</v>
      </c>
    </row>
    <row r="708" spans="1:11" x14ac:dyDescent="0.25">
      <c r="A708" s="2" t="s">
        <v>16</v>
      </c>
      <c r="B708" s="6"/>
      <c r="C708" s="6"/>
      <c r="D708" s="6"/>
      <c r="E708" s="6"/>
      <c r="F708" s="6"/>
      <c r="G708" s="6"/>
      <c r="H708" s="6"/>
      <c r="I708" s="6"/>
      <c r="J708" s="6"/>
      <c r="K708" s="6">
        <f t="shared" si="292"/>
        <v>0</v>
      </c>
    </row>
    <row r="709" spans="1:11" x14ac:dyDescent="0.25">
      <c r="A709" s="2" t="s">
        <v>17</v>
      </c>
      <c r="B709" s="6"/>
      <c r="C709" s="6"/>
      <c r="D709" s="6"/>
      <c r="E709" s="6"/>
      <c r="F709" s="6"/>
      <c r="G709" s="6"/>
      <c r="H709" s="6"/>
      <c r="I709" s="6"/>
      <c r="J709" s="6"/>
      <c r="K709" s="6">
        <f t="shared" si="292"/>
        <v>0</v>
      </c>
    </row>
    <row r="710" spans="1:11" x14ac:dyDescent="0.25">
      <c r="A710" s="2" t="s">
        <v>18</v>
      </c>
      <c r="B710" s="8"/>
      <c r="C710" s="8"/>
      <c r="D710" s="8"/>
      <c r="E710" s="8"/>
      <c r="F710" s="8"/>
      <c r="G710" s="8"/>
      <c r="H710" s="8"/>
      <c r="I710" s="8"/>
      <c r="J710" s="8"/>
      <c r="K710" s="8">
        <f t="shared" ref="K710:K712" si="293">IF(K700&gt;0,K$8/K700,0)</f>
        <v>0</v>
      </c>
    </row>
    <row r="711" spans="1:11" x14ac:dyDescent="0.25">
      <c r="A711" s="2" t="s">
        <v>19</v>
      </c>
      <c r="B711" s="8"/>
      <c r="C711" s="8"/>
      <c r="D711" s="8"/>
      <c r="E711" s="8"/>
      <c r="F711" s="8"/>
      <c r="G711" s="8"/>
      <c r="H711" s="8"/>
      <c r="I711" s="8"/>
      <c r="J711" s="8"/>
      <c r="K711" s="8">
        <f t="shared" si="293"/>
        <v>0</v>
      </c>
    </row>
    <row r="712" spans="1:11" x14ac:dyDescent="0.25">
      <c r="A712" s="2" t="s">
        <v>20</v>
      </c>
      <c r="B712" s="8"/>
      <c r="C712" s="8"/>
      <c r="D712" s="8"/>
      <c r="E712" s="8"/>
      <c r="F712" s="8"/>
      <c r="G712" s="8"/>
      <c r="H712" s="8"/>
      <c r="I712" s="8"/>
      <c r="J712" s="8"/>
      <c r="K712" s="8">
        <f t="shared" si="293"/>
        <v>0</v>
      </c>
    </row>
    <row r="713" spans="1:11" x14ac:dyDescent="0.25">
      <c r="A713" s="2" t="s">
        <v>22</v>
      </c>
      <c r="B713" s="8"/>
      <c r="C713" s="8"/>
      <c r="D713" s="8"/>
      <c r="E713" s="8"/>
      <c r="F713" s="8"/>
      <c r="G713" s="8"/>
      <c r="H713" s="8"/>
      <c r="I713" s="8"/>
      <c r="J713" s="8"/>
      <c r="K713" s="8">
        <f t="shared" ref="K713" si="294">IF(K703&gt;0,K704/K703,0)</f>
        <v>0</v>
      </c>
    </row>
    <row r="714" spans="1:11" x14ac:dyDescent="0.25">
      <c r="A714" s="2" t="s">
        <v>21</v>
      </c>
      <c r="B714" s="8"/>
      <c r="C714" s="8"/>
      <c r="D714" s="8"/>
      <c r="E714" s="8"/>
      <c r="F714" s="8"/>
      <c r="G714" s="8"/>
      <c r="H714" s="8"/>
      <c r="I714" s="8"/>
      <c r="J714" s="8"/>
      <c r="K714" s="8">
        <f t="shared" ref="K714" si="295">IF(K705&gt;0,(K704-K705)/K705,0)</f>
        <v>0</v>
      </c>
    </row>
    <row r="715" spans="1:11" x14ac:dyDescent="0.25">
      <c r="A715" s="2" t="s">
        <v>23</v>
      </c>
      <c r="B715" s="8"/>
      <c r="C715" s="8"/>
      <c r="D715" s="8"/>
      <c r="E715" s="8"/>
      <c r="F715" s="8"/>
      <c r="G715" s="8"/>
      <c r="H715" s="8"/>
      <c r="I715" s="8"/>
      <c r="J715" s="8"/>
      <c r="K715" s="8">
        <f t="shared" ref="K715" si="296">K704-K705</f>
        <v>0</v>
      </c>
    </row>
    <row r="716" spans="1:11" x14ac:dyDescent="0.25">
      <c r="A716" s="9" t="str">
        <f>VLOOKUP(INT((ROW()-1)/17)+1,Справочник!A:D,3,0)</f>
        <v>Ноябрь неделя 3 (14-20 ноя.)</v>
      </c>
      <c r="B716" s="9">
        <f t="shared" ref="B716:J733" si="297">B$2</f>
        <v>0</v>
      </c>
      <c r="C716" s="9">
        <f t="shared" si="297"/>
        <v>0</v>
      </c>
      <c r="D716" s="9">
        <f t="shared" si="297"/>
        <v>0</v>
      </c>
      <c r="E716" s="9">
        <f t="shared" si="297"/>
        <v>0</v>
      </c>
      <c r="F716" s="9">
        <f t="shared" si="297"/>
        <v>0</v>
      </c>
      <c r="G716" s="9">
        <f t="shared" si="297"/>
        <v>0</v>
      </c>
      <c r="H716" s="9">
        <f t="shared" si="297"/>
        <v>0</v>
      </c>
      <c r="I716" s="9">
        <f t="shared" si="297"/>
        <v>0</v>
      </c>
      <c r="J716" s="9">
        <f t="shared" si="297"/>
        <v>0</v>
      </c>
      <c r="K716" s="9">
        <f>'Учет данных'!K718</f>
        <v>0</v>
      </c>
    </row>
    <row r="717" spans="1:11" x14ac:dyDescent="0.25">
      <c r="A717" s="1" t="s">
        <v>0</v>
      </c>
      <c r="B717" s="7"/>
      <c r="C717" s="7"/>
      <c r="D717" s="7"/>
      <c r="E717" s="7"/>
      <c r="F717" s="7"/>
      <c r="G717" s="7"/>
      <c r="H717" s="7"/>
      <c r="I717" s="7"/>
      <c r="J717" s="7"/>
      <c r="K717" s="7">
        <f t="shared" ref="K717" si="298">SUM(B717:J717)</f>
        <v>0</v>
      </c>
    </row>
    <row r="718" spans="1:11" x14ac:dyDescent="0.25">
      <c r="A718" s="1" t="s">
        <v>1</v>
      </c>
      <c r="B718" s="7"/>
      <c r="C718" s="7"/>
      <c r="D718" s="7"/>
      <c r="E718" s="7"/>
      <c r="F718" s="7"/>
      <c r="G718" s="7"/>
      <c r="H718" s="7"/>
      <c r="I718" s="7"/>
      <c r="J718" s="7"/>
      <c r="K718" s="7">
        <f t="shared" si="291"/>
        <v>0</v>
      </c>
    </row>
    <row r="719" spans="1:11" x14ac:dyDescent="0.25">
      <c r="A719" s="1" t="s">
        <v>2</v>
      </c>
      <c r="B719" s="7"/>
      <c r="C719" s="7"/>
      <c r="D719" s="7"/>
      <c r="E719" s="7"/>
      <c r="F719" s="7"/>
      <c r="G719" s="7"/>
      <c r="H719" s="7"/>
      <c r="I719" s="7"/>
      <c r="J719" s="7"/>
      <c r="K719" s="7">
        <f t="shared" si="291"/>
        <v>0</v>
      </c>
    </row>
    <row r="720" spans="1:11" x14ac:dyDescent="0.25">
      <c r="A720" s="1" t="s">
        <v>3</v>
      </c>
      <c r="B720" s="7"/>
      <c r="C720" s="7"/>
      <c r="D720" s="7"/>
      <c r="E720" s="7"/>
      <c r="F720" s="7"/>
      <c r="G720" s="7"/>
      <c r="H720" s="7"/>
      <c r="I720" s="7"/>
      <c r="J720" s="7"/>
      <c r="K720" s="7">
        <f t="shared" si="291"/>
        <v>0</v>
      </c>
    </row>
    <row r="721" spans="1:11" x14ac:dyDescent="0.25">
      <c r="A721" s="1" t="s">
        <v>4</v>
      </c>
      <c r="B721" s="7"/>
      <c r="C721" s="7"/>
      <c r="D721" s="7"/>
      <c r="E721" s="7"/>
      <c r="F721" s="7"/>
      <c r="G721" s="7"/>
      <c r="H721" s="7"/>
      <c r="I721" s="7"/>
      <c r="J721" s="7"/>
      <c r="K721" s="7">
        <f t="shared" si="291"/>
        <v>0</v>
      </c>
    </row>
    <row r="722" spans="1:11" x14ac:dyDescent="0.25">
      <c r="A722" s="1" t="s">
        <v>5</v>
      </c>
      <c r="B722" s="7"/>
      <c r="C722" s="7"/>
      <c r="D722" s="7"/>
      <c r="E722" s="7"/>
      <c r="F722" s="7"/>
      <c r="G722" s="7"/>
      <c r="H722" s="7"/>
      <c r="I722" s="7"/>
      <c r="J722" s="7"/>
      <c r="K722" s="7">
        <f t="shared" si="291"/>
        <v>0</v>
      </c>
    </row>
    <row r="724" spans="1:11" x14ac:dyDescent="0.25">
      <c r="A724" s="2" t="s">
        <v>15</v>
      </c>
      <c r="B724" s="6"/>
      <c r="C724" s="6"/>
      <c r="D724" s="6"/>
      <c r="E724" s="6"/>
      <c r="F724" s="6"/>
      <c r="G724" s="6"/>
      <c r="H724" s="6"/>
      <c r="I724" s="6"/>
      <c r="J724" s="6"/>
      <c r="K724" s="6">
        <f t="shared" ref="K724:K726" si="299">IF(K717&gt;0,K718/K717,0)</f>
        <v>0</v>
      </c>
    </row>
    <row r="725" spans="1:11" x14ac:dyDescent="0.25">
      <c r="A725" s="2" t="s">
        <v>16</v>
      </c>
      <c r="B725" s="6"/>
      <c r="C725" s="6"/>
      <c r="D725" s="6"/>
      <c r="E725" s="6"/>
      <c r="F725" s="6"/>
      <c r="G725" s="6"/>
      <c r="H725" s="6"/>
      <c r="I725" s="6"/>
      <c r="J725" s="6"/>
      <c r="K725" s="6">
        <f t="shared" si="299"/>
        <v>0</v>
      </c>
    </row>
    <row r="726" spans="1:11" x14ac:dyDescent="0.25">
      <c r="A726" s="2" t="s">
        <v>17</v>
      </c>
      <c r="B726" s="6"/>
      <c r="C726" s="6"/>
      <c r="D726" s="6"/>
      <c r="E726" s="6"/>
      <c r="F726" s="6"/>
      <c r="G726" s="6"/>
      <c r="H726" s="6"/>
      <c r="I726" s="6"/>
      <c r="J726" s="6"/>
      <c r="K726" s="6">
        <f t="shared" si="299"/>
        <v>0</v>
      </c>
    </row>
    <row r="727" spans="1:11" x14ac:dyDescent="0.25">
      <c r="A727" s="2" t="s">
        <v>18</v>
      </c>
      <c r="B727" s="8"/>
      <c r="C727" s="8"/>
      <c r="D727" s="8"/>
      <c r="E727" s="8"/>
      <c r="F727" s="8"/>
      <c r="G727" s="8"/>
      <c r="H727" s="8"/>
      <c r="I727" s="8"/>
      <c r="J727" s="8"/>
      <c r="K727" s="8">
        <f t="shared" ref="K727:K729" si="300">IF(K717&gt;0,K$8/K717,0)</f>
        <v>0</v>
      </c>
    </row>
    <row r="728" spans="1:11" x14ac:dyDescent="0.25">
      <c r="A728" s="2" t="s">
        <v>19</v>
      </c>
      <c r="B728" s="8"/>
      <c r="C728" s="8"/>
      <c r="D728" s="8"/>
      <c r="E728" s="8"/>
      <c r="F728" s="8"/>
      <c r="G728" s="8"/>
      <c r="H728" s="8"/>
      <c r="I728" s="8"/>
      <c r="J728" s="8"/>
      <c r="K728" s="8">
        <f t="shared" si="300"/>
        <v>0</v>
      </c>
    </row>
    <row r="729" spans="1:11" x14ac:dyDescent="0.25">
      <c r="A729" s="2" t="s">
        <v>20</v>
      </c>
      <c r="B729" s="8"/>
      <c r="C729" s="8"/>
      <c r="D729" s="8"/>
      <c r="E729" s="8"/>
      <c r="F729" s="8"/>
      <c r="G729" s="8"/>
      <c r="H729" s="8"/>
      <c r="I729" s="8"/>
      <c r="J729" s="8"/>
      <c r="K729" s="8">
        <f t="shared" si="300"/>
        <v>0</v>
      </c>
    </row>
    <row r="730" spans="1:11" x14ac:dyDescent="0.25">
      <c r="A730" s="2" t="s">
        <v>22</v>
      </c>
      <c r="B730" s="8"/>
      <c r="C730" s="8"/>
      <c r="D730" s="8"/>
      <c r="E730" s="8"/>
      <c r="F730" s="8"/>
      <c r="G730" s="8"/>
      <c r="H730" s="8"/>
      <c r="I730" s="8"/>
      <c r="J730" s="8"/>
      <c r="K730" s="8">
        <f t="shared" ref="K730" si="301">IF(K720&gt;0,K721/K720,0)</f>
        <v>0</v>
      </c>
    </row>
    <row r="731" spans="1:11" x14ac:dyDescent="0.25">
      <c r="A731" s="2" t="s">
        <v>21</v>
      </c>
      <c r="B731" s="8"/>
      <c r="C731" s="8"/>
      <c r="D731" s="8"/>
      <c r="E731" s="8"/>
      <c r="F731" s="8"/>
      <c r="G731" s="8"/>
      <c r="H731" s="8"/>
      <c r="I731" s="8"/>
      <c r="J731" s="8"/>
      <c r="K731" s="8">
        <f t="shared" ref="K731" si="302">IF(K722&gt;0,(K721-K722)/K722,0)</f>
        <v>0</v>
      </c>
    </row>
    <row r="732" spans="1:11" x14ac:dyDescent="0.25">
      <c r="A732" s="2" t="s">
        <v>23</v>
      </c>
      <c r="B732" s="8"/>
      <c r="C732" s="8"/>
      <c r="D732" s="8"/>
      <c r="E732" s="8"/>
      <c r="F732" s="8"/>
      <c r="G732" s="8"/>
      <c r="H732" s="8"/>
      <c r="I732" s="8"/>
      <c r="J732" s="8"/>
      <c r="K732" s="8">
        <f t="shared" ref="K732" si="303">K721-K722</f>
        <v>0</v>
      </c>
    </row>
    <row r="733" spans="1:11" x14ac:dyDescent="0.25">
      <c r="A733" s="9" t="str">
        <f>VLOOKUP(INT((ROW()-1)/17)+1,Справочник!A:D,3,0)</f>
        <v>Ноябрь неделя 4 (21-30 ноя.)</v>
      </c>
      <c r="B733" s="9">
        <f t="shared" ref="B733" si="304">B$2</f>
        <v>0</v>
      </c>
      <c r="C733" s="9">
        <f t="shared" si="297"/>
        <v>0</v>
      </c>
      <c r="D733" s="9">
        <f t="shared" si="297"/>
        <v>0</v>
      </c>
      <c r="E733" s="9">
        <f t="shared" si="297"/>
        <v>0</v>
      </c>
      <c r="F733" s="9">
        <f t="shared" si="297"/>
        <v>0</v>
      </c>
      <c r="G733" s="9">
        <f t="shared" si="297"/>
        <v>0</v>
      </c>
      <c r="H733" s="9">
        <f t="shared" si="297"/>
        <v>0</v>
      </c>
      <c r="I733" s="9">
        <f t="shared" si="297"/>
        <v>0</v>
      </c>
      <c r="J733" s="9">
        <f t="shared" si="297"/>
        <v>0</v>
      </c>
      <c r="K733" s="9">
        <f>'Учет данных'!K735</f>
        <v>0</v>
      </c>
    </row>
    <row r="734" spans="1:11" x14ac:dyDescent="0.25">
      <c r="A734" s="1" t="s">
        <v>0</v>
      </c>
      <c r="B734" s="7"/>
      <c r="C734" s="7"/>
      <c r="D734" s="7"/>
      <c r="E734" s="7"/>
      <c r="F734" s="7"/>
      <c r="G734" s="7"/>
      <c r="H734" s="7"/>
      <c r="I734" s="7"/>
      <c r="J734" s="7"/>
      <c r="K734" s="7">
        <f t="shared" ref="K734" si="305">SUM(B734:J734)</f>
        <v>0</v>
      </c>
    </row>
    <row r="735" spans="1:11" x14ac:dyDescent="0.25">
      <c r="A735" s="1" t="s">
        <v>1</v>
      </c>
      <c r="B735" s="7"/>
      <c r="C735" s="7"/>
      <c r="D735" s="7"/>
      <c r="E735" s="7"/>
      <c r="F735" s="7"/>
      <c r="G735" s="7"/>
      <c r="H735" s="7"/>
      <c r="I735" s="7"/>
      <c r="J735" s="7"/>
      <c r="K735" s="7">
        <f t="shared" si="291"/>
        <v>0</v>
      </c>
    </row>
    <row r="736" spans="1:11" x14ac:dyDescent="0.25">
      <c r="A736" s="1" t="s">
        <v>2</v>
      </c>
      <c r="B736" s="7"/>
      <c r="C736" s="7"/>
      <c r="D736" s="7"/>
      <c r="E736" s="7"/>
      <c r="F736" s="7"/>
      <c r="G736" s="7"/>
      <c r="H736" s="7"/>
      <c r="I736" s="7"/>
      <c r="J736" s="7"/>
      <c r="K736" s="7">
        <f t="shared" si="291"/>
        <v>0</v>
      </c>
    </row>
    <row r="737" spans="1:11" x14ac:dyDescent="0.25">
      <c r="A737" s="1" t="s">
        <v>3</v>
      </c>
      <c r="B737" s="7"/>
      <c r="C737" s="7"/>
      <c r="D737" s="7"/>
      <c r="E737" s="7"/>
      <c r="F737" s="7"/>
      <c r="G737" s="7"/>
      <c r="H737" s="7"/>
      <c r="I737" s="7"/>
      <c r="J737" s="7"/>
      <c r="K737" s="7">
        <f t="shared" si="291"/>
        <v>0</v>
      </c>
    </row>
    <row r="738" spans="1:11" x14ac:dyDescent="0.25">
      <c r="A738" s="1" t="s">
        <v>4</v>
      </c>
      <c r="B738" s="7"/>
      <c r="C738" s="7"/>
      <c r="D738" s="7"/>
      <c r="E738" s="7"/>
      <c r="F738" s="7"/>
      <c r="G738" s="7"/>
      <c r="H738" s="7"/>
      <c r="I738" s="7"/>
      <c r="J738" s="7"/>
      <c r="K738" s="7">
        <f t="shared" si="291"/>
        <v>0</v>
      </c>
    </row>
    <row r="739" spans="1:11" x14ac:dyDescent="0.25">
      <c r="A739" s="1" t="s">
        <v>5</v>
      </c>
      <c r="B739" s="7"/>
      <c r="C739" s="7"/>
      <c r="D739" s="7"/>
      <c r="E739" s="7"/>
      <c r="F739" s="7"/>
      <c r="G739" s="7"/>
      <c r="H739" s="7"/>
      <c r="I739" s="7"/>
      <c r="J739" s="7"/>
      <c r="K739" s="7">
        <f t="shared" si="291"/>
        <v>0</v>
      </c>
    </row>
    <row r="741" spans="1:11" x14ac:dyDescent="0.25">
      <c r="A741" s="2" t="s">
        <v>15</v>
      </c>
      <c r="B741" s="6"/>
      <c r="C741" s="6"/>
      <c r="D741" s="6"/>
      <c r="E741" s="6"/>
      <c r="F741" s="6"/>
      <c r="G741" s="6"/>
      <c r="H741" s="6"/>
      <c r="I741" s="6"/>
      <c r="J741" s="6"/>
      <c r="K741" s="6">
        <f t="shared" ref="K741:K743" si="306">IF(K734&gt;0,K735/K734,0)</f>
        <v>0</v>
      </c>
    </row>
    <row r="742" spans="1:11" x14ac:dyDescent="0.25">
      <c r="A742" s="2" t="s">
        <v>16</v>
      </c>
      <c r="B742" s="6"/>
      <c r="C742" s="6"/>
      <c r="D742" s="6"/>
      <c r="E742" s="6"/>
      <c r="F742" s="6"/>
      <c r="G742" s="6"/>
      <c r="H742" s="6"/>
      <c r="I742" s="6"/>
      <c r="J742" s="6"/>
      <c r="K742" s="6">
        <f t="shared" si="306"/>
        <v>0</v>
      </c>
    </row>
    <row r="743" spans="1:11" x14ac:dyDescent="0.25">
      <c r="A743" s="2" t="s">
        <v>17</v>
      </c>
      <c r="B743" s="6"/>
      <c r="C743" s="6"/>
      <c r="D743" s="6"/>
      <c r="E743" s="6"/>
      <c r="F743" s="6"/>
      <c r="G743" s="6"/>
      <c r="H743" s="6"/>
      <c r="I743" s="6"/>
      <c r="J743" s="6"/>
      <c r="K743" s="6">
        <f t="shared" si="306"/>
        <v>0</v>
      </c>
    </row>
    <row r="744" spans="1:11" x14ac:dyDescent="0.25">
      <c r="A744" s="2" t="s">
        <v>18</v>
      </c>
      <c r="B744" s="8"/>
      <c r="C744" s="8"/>
      <c r="D744" s="8"/>
      <c r="E744" s="8"/>
      <c r="F744" s="8"/>
      <c r="G744" s="8"/>
      <c r="H744" s="8"/>
      <c r="I744" s="8"/>
      <c r="J744" s="8"/>
      <c r="K744" s="8">
        <f t="shared" ref="K744:K746" si="307">IF(K734&gt;0,K$8/K734,0)</f>
        <v>0</v>
      </c>
    </row>
    <row r="745" spans="1:11" x14ac:dyDescent="0.25">
      <c r="A745" s="2" t="s">
        <v>19</v>
      </c>
      <c r="B745" s="8"/>
      <c r="C745" s="8"/>
      <c r="D745" s="8"/>
      <c r="E745" s="8"/>
      <c r="F745" s="8"/>
      <c r="G745" s="8"/>
      <c r="H745" s="8"/>
      <c r="I745" s="8"/>
      <c r="J745" s="8"/>
      <c r="K745" s="8">
        <f t="shared" si="307"/>
        <v>0</v>
      </c>
    </row>
    <row r="746" spans="1:11" x14ac:dyDescent="0.25">
      <c r="A746" s="2" t="s">
        <v>20</v>
      </c>
      <c r="B746" s="8"/>
      <c r="C746" s="8"/>
      <c r="D746" s="8"/>
      <c r="E746" s="8"/>
      <c r="F746" s="8"/>
      <c r="G746" s="8"/>
      <c r="H746" s="8"/>
      <c r="I746" s="8"/>
      <c r="J746" s="8"/>
      <c r="K746" s="8">
        <f t="shared" si="307"/>
        <v>0</v>
      </c>
    </row>
    <row r="747" spans="1:11" x14ac:dyDescent="0.25">
      <c r="A747" s="2" t="s">
        <v>22</v>
      </c>
      <c r="B747" s="8"/>
      <c r="C747" s="8"/>
      <c r="D747" s="8"/>
      <c r="E747" s="8"/>
      <c r="F747" s="8"/>
      <c r="G747" s="8"/>
      <c r="H747" s="8"/>
      <c r="I747" s="8"/>
      <c r="J747" s="8"/>
      <c r="K747" s="8">
        <f t="shared" ref="K747" si="308">IF(K737&gt;0,K738/K737,0)</f>
        <v>0</v>
      </c>
    </row>
    <row r="748" spans="1:11" x14ac:dyDescent="0.25">
      <c r="A748" s="2" t="s">
        <v>21</v>
      </c>
      <c r="B748" s="8"/>
      <c r="C748" s="8"/>
      <c r="D748" s="8"/>
      <c r="E748" s="8"/>
      <c r="F748" s="8"/>
      <c r="G748" s="8"/>
      <c r="H748" s="8"/>
      <c r="I748" s="8"/>
      <c r="J748" s="8"/>
      <c r="K748" s="8">
        <f t="shared" ref="K748" si="309">IF(K739&gt;0,(K738-K739)/K739,0)</f>
        <v>0</v>
      </c>
    </row>
    <row r="749" spans="1:11" x14ac:dyDescent="0.25">
      <c r="A749" s="2" t="s">
        <v>23</v>
      </c>
      <c r="B749" s="8"/>
      <c r="C749" s="8"/>
      <c r="D749" s="8"/>
      <c r="E749" s="8"/>
      <c r="F749" s="8"/>
      <c r="G749" s="8"/>
      <c r="H749" s="8"/>
      <c r="I749" s="8"/>
      <c r="J749" s="8"/>
      <c r="K749" s="8">
        <f t="shared" ref="K749" si="310">K738-K739</f>
        <v>0</v>
      </c>
    </row>
    <row r="750" spans="1:11" x14ac:dyDescent="0.25">
      <c r="A750" s="9" t="str">
        <f>VLOOKUP(INT((ROW()-1)/17)+1,Справочник!A:D,3,0)</f>
        <v>Декабрь неделя 1 (01-11 дек.)</v>
      </c>
      <c r="B750" s="9">
        <f t="shared" ref="B750:J767" si="311">B$2</f>
        <v>0</v>
      </c>
      <c r="C750" s="9">
        <f t="shared" si="311"/>
        <v>0</v>
      </c>
      <c r="D750" s="9">
        <f t="shared" si="311"/>
        <v>0</v>
      </c>
      <c r="E750" s="9">
        <f t="shared" si="311"/>
        <v>0</v>
      </c>
      <c r="F750" s="9">
        <f t="shared" si="311"/>
        <v>0</v>
      </c>
      <c r="G750" s="9">
        <f t="shared" si="311"/>
        <v>0</v>
      </c>
      <c r="H750" s="9">
        <f t="shared" si="311"/>
        <v>0</v>
      </c>
      <c r="I750" s="9">
        <f t="shared" si="311"/>
        <v>0</v>
      </c>
      <c r="J750" s="9">
        <f t="shared" si="311"/>
        <v>0</v>
      </c>
      <c r="K750" s="9">
        <f>'Учет данных'!K752</f>
        <v>0</v>
      </c>
    </row>
    <row r="751" spans="1:11" x14ac:dyDescent="0.25">
      <c r="A751" s="1" t="s">
        <v>0</v>
      </c>
      <c r="B751" s="7"/>
      <c r="C751" s="7"/>
      <c r="D751" s="7"/>
      <c r="E751" s="7"/>
      <c r="F751" s="7"/>
      <c r="G751" s="7"/>
      <c r="H751" s="7"/>
      <c r="I751" s="7"/>
      <c r="J751" s="7"/>
      <c r="K751" s="7">
        <f t="shared" ref="K751" si="312">SUM(B751:J751)</f>
        <v>0</v>
      </c>
    </row>
    <row r="752" spans="1:11" x14ac:dyDescent="0.25">
      <c r="A752" s="1" t="s">
        <v>1</v>
      </c>
      <c r="B752" s="7"/>
      <c r="C752" s="7"/>
      <c r="D752" s="7"/>
      <c r="E752" s="7"/>
      <c r="F752" s="7"/>
      <c r="G752" s="7"/>
      <c r="H752" s="7"/>
      <c r="I752" s="7"/>
      <c r="J752" s="7"/>
      <c r="K752" s="7">
        <f t="shared" si="291"/>
        <v>0</v>
      </c>
    </row>
    <row r="753" spans="1:11" x14ac:dyDescent="0.25">
      <c r="A753" s="1" t="s">
        <v>2</v>
      </c>
      <c r="B753" s="7"/>
      <c r="C753" s="7"/>
      <c r="D753" s="7"/>
      <c r="E753" s="7"/>
      <c r="F753" s="7"/>
      <c r="G753" s="7"/>
      <c r="H753" s="7"/>
      <c r="I753" s="7"/>
      <c r="J753" s="7"/>
      <c r="K753" s="7">
        <f t="shared" si="291"/>
        <v>0</v>
      </c>
    </row>
    <row r="754" spans="1:11" x14ac:dyDescent="0.25">
      <c r="A754" s="1" t="s">
        <v>3</v>
      </c>
      <c r="B754" s="7"/>
      <c r="C754" s="7"/>
      <c r="D754" s="7"/>
      <c r="E754" s="7"/>
      <c r="F754" s="7"/>
      <c r="G754" s="7"/>
      <c r="H754" s="7"/>
      <c r="I754" s="7"/>
      <c r="J754" s="7"/>
      <c r="K754" s="7">
        <f t="shared" si="291"/>
        <v>0</v>
      </c>
    </row>
    <row r="755" spans="1:11" x14ac:dyDescent="0.25">
      <c r="A755" s="1" t="s">
        <v>4</v>
      </c>
      <c r="B755" s="7"/>
      <c r="C755" s="7"/>
      <c r="D755" s="7"/>
      <c r="E755" s="7"/>
      <c r="F755" s="7"/>
      <c r="G755" s="7"/>
      <c r="H755" s="7"/>
      <c r="I755" s="7"/>
      <c r="J755" s="7"/>
      <c r="K755" s="7">
        <f t="shared" si="291"/>
        <v>0</v>
      </c>
    </row>
    <row r="756" spans="1:11" x14ac:dyDescent="0.25">
      <c r="A756" s="1" t="s">
        <v>5</v>
      </c>
      <c r="B756" s="7"/>
      <c r="C756" s="7"/>
      <c r="D756" s="7"/>
      <c r="E756" s="7"/>
      <c r="F756" s="7"/>
      <c r="G756" s="7"/>
      <c r="H756" s="7"/>
      <c r="I756" s="7"/>
      <c r="J756" s="7"/>
      <c r="K756" s="7">
        <f t="shared" si="291"/>
        <v>0</v>
      </c>
    </row>
    <row r="758" spans="1:11" x14ac:dyDescent="0.25">
      <c r="A758" s="2" t="s">
        <v>15</v>
      </c>
      <c r="B758" s="6"/>
      <c r="C758" s="6"/>
      <c r="D758" s="6"/>
      <c r="E758" s="6"/>
      <c r="F758" s="6"/>
      <c r="G758" s="6"/>
      <c r="H758" s="6"/>
      <c r="I758" s="6"/>
      <c r="J758" s="6"/>
      <c r="K758" s="6">
        <f t="shared" ref="K758:K760" si="313">IF(K751&gt;0,K752/K751,0)</f>
        <v>0</v>
      </c>
    </row>
    <row r="759" spans="1:11" x14ac:dyDescent="0.25">
      <c r="A759" s="2" t="s">
        <v>16</v>
      </c>
      <c r="B759" s="6"/>
      <c r="C759" s="6"/>
      <c r="D759" s="6"/>
      <c r="E759" s="6"/>
      <c r="F759" s="6"/>
      <c r="G759" s="6"/>
      <c r="H759" s="6"/>
      <c r="I759" s="6"/>
      <c r="J759" s="6"/>
      <c r="K759" s="6">
        <f t="shared" si="313"/>
        <v>0</v>
      </c>
    </row>
    <row r="760" spans="1:11" x14ac:dyDescent="0.25">
      <c r="A760" s="2" t="s">
        <v>17</v>
      </c>
      <c r="B760" s="6"/>
      <c r="C760" s="6"/>
      <c r="D760" s="6"/>
      <c r="E760" s="6"/>
      <c r="F760" s="6"/>
      <c r="G760" s="6"/>
      <c r="H760" s="6"/>
      <c r="I760" s="6"/>
      <c r="J760" s="6"/>
      <c r="K760" s="6">
        <f t="shared" si="313"/>
        <v>0</v>
      </c>
    </row>
    <row r="761" spans="1:11" x14ac:dyDescent="0.25">
      <c r="A761" s="2" t="s">
        <v>18</v>
      </c>
      <c r="B761" s="8"/>
      <c r="C761" s="8"/>
      <c r="D761" s="8"/>
      <c r="E761" s="8"/>
      <c r="F761" s="8"/>
      <c r="G761" s="8"/>
      <c r="H761" s="8"/>
      <c r="I761" s="8"/>
      <c r="J761" s="8"/>
      <c r="K761" s="8">
        <f t="shared" ref="K761:K763" si="314">IF(K751&gt;0,K$8/K751,0)</f>
        <v>0</v>
      </c>
    </row>
    <row r="762" spans="1:11" x14ac:dyDescent="0.25">
      <c r="A762" s="2" t="s">
        <v>19</v>
      </c>
      <c r="B762" s="8"/>
      <c r="C762" s="8"/>
      <c r="D762" s="8"/>
      <c r="E762" s="8"/>
      <c r="F762" s="8"/>
      <c r="G762" s="8"/>
      <c r="H762" s="8"/>
      <c r="I762" s="8"/>
      <c r="J762" s="8"/>
      <c r="K762" s="8">
        <f t="shared" si="314"/>
        <v>0</v>
      </c>
    </row>
    <row r="763" spans="1:11" x14ac:dyDescent="0.25">
      <c r="A763" s="2" t="s">
        <v>20</v>
      </c>
      <c r="B763" s="8"/>
      <c r="C763" s="8"/>
      <c r="D763" s="8"/>
      <c r="E763" s="8"/>
      <c r="F763" s="8"/>
      <c r="G763" s="8"/>
      <c r="H763" s="8"/>
      <c r="I763" s="8"/>
      <c r="J763" s="8"/>
      <c r="K763" s="8">
        <f t="shared" si="314"/>
        <v>0</v>
      </c>
    </row>
    <row r="764" spans="1:11" x14ac:dyDescent="0.25">
      <c r="A764" s="2" t="s">
        <v>22</v>
      </c>
      <c r="B764" s="8"/>
      <c r="C764" s="8"/>
      <c r="D764" s="8"/>
      <c r="E764" s="8"/>
      <c r="F764" s="8"/>
      <c r="G764" s="8"/>
      <c r="H764" s="8"/>
      <c r="I764" s="8"/>
      <c r="J764" s="8"/>
      <c r="K764" s="8">
        <f t="shared" ref="K764" si="315">IF(K754&gt;0,K755/K754,0)</f>
        <v>0</v>
      </c>
    </row>
    <row r="765" spans="1:11" x14ac:dyDescent="0.25">
      <c r="A765" s="2" t="s">
        <v>21</v>
      </c>
      <c r="B765" s="8"/>
      <c r="C765" s="8"/>
      <c r="D765" s="8"/>
      <c r="E765" s="8"/>
      <c r="F765" s="8"/>
      <c r="G765" s="8"/>
      <c r="H765" s="8"/>
      <c r="I765" s="8"/>
      <c r="J765" s="8"/>
      <c r="K765" s="8">
        <f t="shared" ref="K765" si="316">IF(K756&gt;0,(K755-K756)/K756,0)</f>
        <v>0</v>
      </c>
    </row>
    <row r="766" spans="1:11" x14ac:dyDescent="0.25">
      <c r="A766" s="2" t="s">
        <v>23</v>
      </c>
      <c r="B766" s="8"/>
      <c r="C766" s="8"/>
      <c r="D766" s="8"/>
      <c r="E766" s="8"/>
      <c r="F766" s="8"/>
      <c r="G766" s="8"/>
      <c r="H766" s="8"/>
      <c r="I766" s="8"/>
      <c r="J766" s="8"/>
      <c r="K766" s="8">
        <f t="shared" ref="K766" si="317">K755-K756</f>
        <v>0</v>
      </c>
    </row>
    <row r="767" spans="1:11" x14ac:dyDescent="0.25">
      <c r="A767" s="9" t="str">
        <f>VLOOKUP(INT((ROW()-1)/17)+1,Справочник!A:D,3,0)</f>
        <v>Декабрь неделя 2 (12-18 дек.)</v>
      </c>
      <c r="B767" s="9">
        <f t="shared" ref="B767" si="318">B$2</f>
        <v>0</v>
      </c>
      <c r="C767" s="9">
        <f t="shared" si="311"/>
        <v>0</v>
      </c>
      <c r="D767" s="9">
        <f t="shared" si="311"/>
        <v>0</v>
      </c>
      <c r="E767" s="9">
        <f t="shared" si="311"/>
        <v>0</v>
      </c>
      <c r="F767" s="9">
        <f t="shared" si="311"/>
        <v>0</v>
      </c>
      <c r="G767" s="9">
        <f t="shared" si="311"/>
        <v>0</v>
      </c>
      <c r="H767" s="9">
        <f t="shared" si="311"/>
        <v>0</v>
      </c>
      <c r="I767" s="9">
        <f t="shared" si="311"/>
        <v>0</v>
      </c>
      <c r="J767" s="9">
        <f t="shared" si="311"/>
        <v>0</v>
      </c>
      <c r="K767" s="9">
        <f>'Учет данных'!K769</f>
        <v>0</v>
      </c>
    </row>
    <row r="768" spans="1:11" x14ac:dyDescent="0.25">
      <c r="A768" s="1" t="s">
        <v>0</v>
      </c>
      <c r="B768" s="7"/>
      <c r="C768" s="7"/>
      <c r="D768" s="7"/>
      <c r="E768" s="7"/>
      <c r="F768" s="7"/>
      <c r="G768" s="7"/>
      <c r="H768" s="7"/>
      <c r="I768" s="7"/>
      <c r="J768" s="7"/>
      <c r="K768" s="7">
        <f t="shared" ref="K768" si="319">SUM(B768:J768)</f>
        <v>0</v>
      </c>
    </row>
    <row r="769" spans="1:11" x14ac:dyDescent="0.25">
      <c r="A769" s="1" t="s">
        <v>1</v>
      </c>
      <c r="B769" s="7"/>
      <c r="C769" s="7"/>
      <c r="D769" s="7"/>
      <c r="E769" s="7"/>
      <c r="F769" s="7"/>
      <c r="G769" s="7"/>
      <c r="H769" s="7"/>
      <c r="I769" s="7"/>
      <c r="J769" s="7"/>
      <c r="K769" s="7">
        <f t="shared" ref="K769:K807" si="320">SUM(B769:J769)</f>
        <v>0</v>
      </c>
    </row>
    <row r="770" spans="1:11" x14ac:dyDescent="0.25">
      <c r="A770" s="1" t="s">
        <v>2</v>
      </c>
      <c r="B770" s="7"/>
      <c r="C770" s="7"/>
      <c r="D770" s="7"/>
      <c r="E770" s="7"/>
      <c r="F770" s="7"/>
      <c r="G770" s="7"/>
      <c r="H770" s="7"/>
      <c r="I770" s="7"/>
      <c r="J770" s="7"/>
      <c r="K770" s="7">
        <f t="shared" si="320"/>
        <v>0</v>
      </c>
    </row>
    <row r="771" spans="1:11" x14ac:dyDescent="0.25">
      <c r="A771" s="1" t="s">
        <v>3</v>
      </c>
      <c r="B771" s="7"/>
      <c r="C771" s="7"/>
      <c r="D771" s="7"/>
      <c r="E771" s="7"/>
      <c r="F771" s="7"/>
      <c r="G771" s="7"/>
      <c r="H771" s="7"/>
      <c r="I771" s="7"/>
      <c r="J771" s="7"/>
      <c r="K771" s="7">
        <f t="shared" si="320"/>
        <v>0</v>
      </c>
    </row>
    <row r="772" spans="1:11" x14ac:dyDescent="0.25">
      <c r="A772" s="1" t="s">
        <v>4</v>
      </c>
      <c r="B772" s="7"/>
      <c r="C772" s="7"/>
      <c r="D772" s="7"/>
      <c r="E772" s="7"/>
      <c r="F772" s="7"/>
      <c r="G772" s="7"/>
      <c r="H772" s="7"/>
      <c r="I772" s="7"/>
      <c r="J772" s="7"/>
      <c r="K772" s="7">
        <f t="shared" si="320"/>
        <v>0</v>
      </c>
    </row>
    <row r="773" spans="1:11" x14ac:dyDescent="0.25">
      <c r="A773" s="1" t="s">
        <v>5</v>
      </c>
      <c r="B773" s="7"/>
      <c r="C773" s="7"/>
      <c r="D773" s="7"/>
      <c r="E773" s="7"/>
      <c r="F773" s="7"/>
      <c r="G773" s="7"/>
      <c r="H773" s="7"/>
      <c r="I773" s="7"/>
      <c r="J773" s="7"/>
      <c r="K773" s="7">
        <f t="shared" si="320"/>
        <v>0</v>
      </c>
    </row>
    <row r="775" spans="1:11" x14ac:dyDescent="0.25">
      <c r="A775" s="2" t="s">
        <v>15</v>
      </c>
      <c r="B775" s="6"/>
      <c r="C775" s="6"/>
      <c r="D775" s="6"/>
      <c r="E775" s="6"/>
      <c r="F775" s="6"/>
      <c r="G775" s="6"/>
      <c r="H775" s="6"/>
      <c r="I775" s="6"/>
      <c r="J775" s="6"/>
      <c r="K775" s="6">
        <f t="shared" ref="K775:K777" si="321">IF(K768&gt;0,K769/K768,0)</f>
        <v>0</v>
      </c>
    </row>
    <row r="776" spans="1:11" x14ac:dyDescent="0.25">
      <c r="A776" s="2" t="s">
        <v>16</v>
      </c>
      <c r="B776" s="6"/>
      <c r="C776" s="6"/>
      <c r="D776" s="6"/>
      <c r="E776" s="6"/>
      <c r="F776" s="6"/>
      <c r="G776" s="6"/>
      <c r="H776" s="6"/>
      <c r="I776" s="6"/>
      <c r="J776" s="6"/>
      <c r="K776" s="6">
        <f t="shared" si="321"/>
        <v>0</v>
      </c>
    </row>
    <row r="777" spans="1:11" x14ac:dyDescent="0.25">
      <c r="A777" s="2" t="s">
        <v>17</v>
      </c>
      <c r="B777" s="6"/>
      <c r="C777" s="6"/>
      <c r="D777" s="6"/>
      <c r="E777" s="6"/>
      <c r="F777" s="6"/>
      <c r="G777" s="6"/>
      <c r="H777" s="6"/>
      <c r="I777" s="6"/>
      <c r="J777" s="6"/>
      <c r="K777" s="6">
        <f t="shared" si="321"/>
        <v>0</v>
      </c>
    </row>
    <row r="778" spans="1:11" x14ac:dyDescent="0.25">
      <c r="A778" s="2" t="s">
        <v>18</v>
      </c>
      <c r="B778" s="8"/>
      <c r="C778" s="8"/>
      <c r="D778" s="8"/>
      <c r="E778" s="8"/>
      <c r="F778" s="8"/>
      <c r="G778" s="8"/>
      <c r="H778" s="8"/>
      <c r="I778" s="8"/>
      <c r="J778" s="8"/>
      <c r="K778" s="8">
        <f t="shared" ref="K778:K780" si="322">IF(K768&gt;0,K$8/K768,0)</f>
        <v>0</v>
      </c>
    </row>
    <row r="779" spans="1:11" x14ac:dyDescent="0.25">
      <c r="A779" s="2" t="s">
        <v>19</v>
      </c>
      <c r="B779" s="8"/>
      <c r="C779" s="8"/>
      <c r="D779" s="8"/>
      <c r="E779" s="8"/>
      <c r="F779" s="8"/>
      <c r="G779" s="8"/>
      <c r="H779" s="8"/>
      <c r="I779" s="8"/>
      <c r="J779" s="8"/>
      <c r="K779" s="8">
        <f t="shared" si="322"/>
        <v>0</v>
      </c>
    </row>
    <row r="780" spans="1:11" x14ac:dyDescent="0.25">
      <c r="A780" s="2" t="s">
        <v>20</v>
      </c>
      <c r="B780" s="8"/>
      <c r="C780" s="8"/>
      <c r="D780" s="8"/>
      <c r="E780" s="8"/>
      <c r="F780" s="8"/>
      <c r="G780" s="8"/>
      <c r="H780" s="8"/>
      <c r="I780" s="8"/>
      <c r="J780" s="8"/>
      <c r="K780" s="8">
        <f t="shared" si="322"/>
        <v>0</v>
      </c>
    </row>
    <row r="781" spans="1:11" x14ac:dyDescent="0.25">
      <c r="A781" s="2" t="s">
        <v>22</v>
      </c>
      <c r="B781" s="8"/>
      <c r="C781" s="8"/>
      <c r="D781" s="8"/>
      <c r="E781" s="8"/>
      <c r="F781" s="8"/>
      <c r="G781" s="8"/>
      <c r="H781" s="8"/>
      <c r="I781" s="8"/>
      <c r="J781" s="8"/>
      <c r="K781" s="8">
        <f t="shared" ref="K781" si="323">IF(K771&gt;0,K772/K771,0)</f>
        <v>0</v>
      </c>
    </row>
    <row r="782" spans="1:11" x14ac:dyDescent="0.25">
      <c r="A782" s="2" t="s">
        <v>21</v>
      </c>
      <c r="B782" s="8"/>
      <c r="C782" s="8"/>
      <c r="D782" s="8"/>
      <c r="E782" s="8"/>
      <c r="F782" s="8"/>
      <c r="G782" s="8"/>
      <c r="H782" s="8"/>
      <c r="I782" s="8"/>
      <c r="J782" s="8"/>
      <c r="K782" s="8">
        <f t="shared" ref="K782" si="324">IF(K773&gt;0,(K772-K773)/K773,0)</f>
        <v>0</v>
      </c>
    </row>
    <row r="783" spans="1:11" x14ac:dyDescent="0.25">
      <c r="A783" s="2" t="s">
        <v>23</v>
      </c>
      <c r="B783" s="8"/>
      <c r="C783" s="8"/>
      <c r="D783" s="8"/>
      <c r="E783" s="8"/>
      <c r="F783" s="8"/>
      <c r="G783" s="8"/>
      <c r="H783" s="8"/>
      <c r="I783" s="8"/>
      <c r="J783" s="8"/>
      <c r="K783" s="8">
        <f t="shared" ref="K783" si="325">K772-K773</f>
        <v>0</v>
      </c>
    </row>
    <row r="784" spans="1:11" x14ac:dyDescent="0.25">
      <c r="A784" s="9" t="str">
        <f>VLOOKUP(INT((ROW()-1)/17)+1,Справочник!A:D,3,0)</f>
        <v>Декабрь неделя 3 (19-25 дек.)</v>
      </c>
      <c r="B784" s="9">
        <f t="shared" ref="B784:J801" si="326">B$2</f>
        <v>0</v>
      </c>
      <c r="C784" s="9">
        <f t="shared" si="326"/>
        <v>0</v>
      </c>
      <c r="D784" s="9">
        <f t="shared" si="326"/>
        <v>0</v>
      </c>
      <c r="E784" s="9">
        <f t="shared" si="326"/>
        <v>0</v>
      </c>
      <c r="F784" s="9">
        <f t="shared" si="326"/>
        <v>0</v>
      </c>
      <c r="G784" s="9">
        <f t="shared" si="326"/>
        <v>0</v>
      </c>
      <c r="H784" s="9">
        <f t="shared" si="326"/>
        <v>0</v>
      </c>
      <c r="I784" s="9">
        <f t="shared" si="326"/>
        <v>0</v>
      </c>
      <c r="J784" s="9">
        <f t="shared" si="326"/>
        <v>0</v>
      </c>
      <c r="K784" s="9">
        <f>'Учет данных'!K786</f>
        <v>0</v>
      </c>
    </row>
    <row r="785" spans="1:11" x14ac:dyDescent="0.25">
      <c r="A785" s="1" t="s">
        <v>0</v>
      </c>
      <c r="B785" s="7"/>
      <c r="C785" s="7"/>
      <c r="D785" s="7"/>
      <c r="E785" s="7"/>
      <c r="F785" s="7"/>
      <c r="G785" s="7"/>
      <c r="H785" s="7"/>
      <c r="I785" s="7"/>
      <c r="J785" s="7"/>
      <c r="K785" s="7">
        <f t="shared" ref="K785" si="327">SUM(B785:J785)</f>
        <v>0</v>
      </c>
    </row>
    <row r="786" spans="1:11" x14ac:dyDescent="0.25">
      <c r="A786" s="1" t="s">
        <v>1</v>
      </c>
      <c r="B786" s="7"/>
      <c r="C786" s="7"/>
      <c r="D786" s="7"/>
      <c r="E786" s="7"/>
      <c r="F786" s="7"/>
      <c r="G786" s="7"/>
      <c r="H786" s="7"/>
      <c r="I786" s="7"/>
      <c r="J786" s="7"/>
      <c r="K786" s="7">
        <f t="shared" si="320"/>
        <v>0</v>
      </c>
    </row>
    <row r="787" spans="1:11" x14ac:dyDescent="0.25">
      <c r="A787" s="1" t="s">
        <v>2</v>
      </c>
      <c r="B787" s="7"/>
      <c r="C787" s="7"/>
      <c r="D787" s="7"/>
      <c r="E787" s="7"/>
      <c r="F787" s="7"/>
      <c r="G787" s="7"/>
      <c r="H787" s="7"/>
      <c r="I787" s="7"/>
      <c r="J787" s="7"/>
      <c r="K787" s="7">
        <f t="shared" si="320"/>
        <v>0</v>
      </c>
    </row>
    <row r="788" spans="1:11" x14ac:dyDescent="0.25">
      <c r="A788" s="1" t="s">
        <v>3</v>
      </c>
      <c r="B788" s="7"/>
      <c r="C788" s="7"/>
      <c r="D788" s="7"/>
      <c r="E788" s="7"/>
      <c r="F788" s="7"/>
      <c r="G788" s="7"/>
      <c r="H788" s="7"/>
      <c r="I788" s="7"/>
      <c r="J788" s="7"/>
      <c r="K788" s="7">
        <f t="shared" si="320"/>
        <v>0</v>
      </c>
    </row>
    <row r="789" spans="1:11" x14ac:dyDescent="0.25">
      <c r="A789" s="1" t="s">
        <v>4</v>
      </c>
      <c r="B789" s="7"/>
      <c r="C789" s="7"/>
      <c r="D789" s="7"/>
      <c r="E789" s="7"/>
      <c r="F789" s="7"/>
      <c r="G789" s="7"/>
      <c r="H789" s="7"/>
      <c r="I789" s="7"/>
      <c r="J789" s="7"/>
      <c r="K789" s="7">
        <f t="shared" si="320"/>
        <v>0</v>
      </c>
    </row>
    <row r="790" spans="1:11" x14ac:dyDescent="0.25">
      <c r="A790" s="1" t="s">
        <v>5</v>
      </c>
      <c r="B790" s="7"/>
      <c r="C790" s="7"/>
      <c r="D790" s="7"/>
      <c r="E790" s="7"/>
      <c r="F790" s="7"/>
      <c r="G790" s="7"/>
      <c r="H790" s="7"/>
      <c r="I790" s="7"/>
      <c r="J790" s="7"/>
      <c r="K790" s="7">
        <f t="shared" si="320"/>
        <v>0</v>
      </c>
    </row>
    <row r="792" spans="1:11" x14ac:dyDescent="0.25">
      <c r="A792" s="2" t="s">
        <v>15</v>
      </c>
      <c r="B792" s="6"/>
      <c r="C792" s="6"/>
      <c r="D792" s="6"/>
      <c r="E792" s="6"/>
      <c r="F792" s="6"/>
      <c r="G792" s="6"/>
      <c r="H792" s="6"/>
      <c r="I792" s="6"/>
      <c r="J792" s="6"/>
      <c r="K792" s="6">
        <f t="shared" ref="K792:K794" si="328">IF(K785&gt;0,K786/K785,0)</f>
        <v>0</v>
      </c>
    </row>
    <row r="793" spans="1:11" x14ac:dyDescent="0.25">
      <c r="A793" s="2" t="s">
        <v>16</v>
      </c>
      <c r="B793" s="6"/>
      <c r="C793" s="6"/>
      <c r="D793" s="6"/>
      <c r="E793" s="6"/>
      <c r="F793" s="6"/>
      <c r="G793" s="6"/>
      <c r="H793" s="6"/>
      <c r="I793" s="6"/>
      <c r="J793" s="6"/>
      <c r="K793" s="6">
        <f t="shared" si="328"/>
        <v>0</v>
      </c>
    </row>
    <row r="794" spans="1:11" x14ac:dyDescent="0.25">
      <c r="A794" s="2" t="s">
        <v>17</v>
      </c>
      <c r="B794" s="6"/>
      <c r="C794" s="6"/>
      <c r="D794" s="6"/>
      <c r="E794" s="6"/>
      <c r="F794" s="6"/>
      <c r="G794" s="6"/>
      <c r="H794" s="6"/>
      <c r="I794" s="6"/>
      <c r="J794" s="6"/>
      <c r="K794" s="6">
        <f t="shared" si="328"/>
        <v>0</v>
      </c>
    </row>
    <row r="795" spans="1:11" x14ac:dyDescent="0.25">
      <c r="A795" s="2" t="s">
        <v>18</v>
      </c>
      <c r="B795" s="8"/>
      <c r="C795" s="8"/>
      <c r="D795" s="8"/>
      <c r="E795" s="8"/>
      <c r="F795" s="8"/>
      <c r="G795" s="8"/>
      <c r="H795" s="8"/>
      <c r="I795" s="8"/>
      <c r="J795" s="8"/>
      <c r="K795" s="8">
        <f t="shared" ref="K795:K797" si="329">IF(K785&gt;0,K$8/K785,0)</f>
        <v>0</v>
      </c>
    </row>
    <row r="796" spans="1:11" x14ac:dyDescent="0.25">
      <c r="A796" s="2" t="s">
        <v>19</v>
      </c>
      <c r="B796" s="8"/>
      <c r="C796" s="8"/>
      <c r="D796" s="8"/>
      <c r="E796" s="8"/>
      <c r="F796" s="8"/>
      <c r="G796" s="8"/>
      <c r="H796" s="8"/>
      <c r="I796" s="8"/>
      <c r="J796" s="8"/>
      <c r="K796" s="8">
        <f t="shared" si="329"/>
        <v>0</v>
      </c>
    </row>
    <row r="797" spans="1:11" x14ac:dyDescent="0.25">
      <c r="A797" s="2" t="s">
        <v>20</v>
      </c>
      <c r="B797" s="8"/>
      <c r="C797" s="8"/>
      <c r="D797" s="8"/>
      <c r="E797" s="8"/>
      <c r="F797" s="8"/>
      <c r="G797" s="8"/>
      <c r="H797" s="8"/>
      <c r="I797" s="8"/>
      <c r="J797" s="8"/>
      <c r="K797" s="8">
        <f t="shared" si="329"/>
        <v>0</v>
      </c>
    </row>
    <row r="798" spans="1:11" x14ac:dyDescent="0.25">
      <c r="A798" s="2" t="s">
        <v>22</v>
      </c>
      <c r="B798" s="8"/>
      <c r="C798" s="8"/>
      <c r="D798" s="8"/>
      <c r="E798" s="8"/>
      <c r="F798" s="8"/>
      <c r="G798" s="8"/>
      <c r="H798" s="8"/>
      <c r="I798" s="8"/>
      <c r="J798" s="8"/>
      <c r="K798" s="8">
        <f t="shared" ref="K798" si="330">IF(K788&gt;0,K789/K788,0)</f>
        <v>0</v>
      </c>
    </row>
    <row r="799" spans="1:11" x14ac:dyDescent="0.25">
      <c r="A799" s="2" t="s">
        <v>21</v>
      </c>
      <c r="B799" s="8"/>
      <c r="C799" s="8"/>
      <c r="D799" s="8"/>
      <c r="E799" s="8"/>
      <c r="F799" s="8"/>
      <c r="G799" s="8"/>
      <c r="H799" s="8"/>
      <c r="I799" s="8"/>
      <c r="J799" s="8"/>
      <c r="K799" s="8">
        <f t="shared" ref="K799" si="331">IF(K790&gt;0,(K789-K790)/K790,0)</f>
        <v>0</v>
      </c>
    </row>
    <row r="800" spans="1:11" x14ac:dyDescent="0.25">
      <c r="A800" s="2" t="s">
        <v>23</v>
      </c>
      <c r="B800" s="8"/>
      <c r="C800" s="8"/>
      <c r="D800" s="8"/>
      <c r="E800" s="8"/>
      <c r="F800" s="8"/>
      <c r="G800" s="8"/>
      <c r="H800" s="8"/>
      <c r="I800" s="8"/>
      <c r="J800" s="8"/>
      <c r="K800" s="8">
        <f t="shared" ref="K800" si="332">K789-K790</f>
        <v>0</v>
      </c>
    </row>
    <row r="801" spans="1:11" x14ac:dyDescent="0.25">
      <c r="A801" s="9" t="str">
        <f>VLOOKUP(INT((ROW()-1)/17)+1,Справочник!A:D,3,0)</f>
        <v>Декабрь неделя 4 (26-31 дек.)</v>
      </c>
      <c r="B801" s="9">
        <f t="shared" ref="B801" si="333">B$2</f>
        <v>0</v>
      </c>
      <c r="C801" s="9">
        <f t="shared" si="326"/>
        <v>0</v>
      </c>
      <c r="D801" s="9">
        <f t="shared" si="326"/>
        <v>0</v>
      </c>
      <c r="E801" s="9">
        <f t="shared" si="326"/>
        <v>0</v>
      </c>
      <c r="F801" s="9">
        <f t="shared" si="326"/>
        <v>0</v>
      </c>
      <c r="G801" s="9">
        <f t="shared" si="326"/>
        <v>0</v>
      </c>
      <c r="H801" s="9">
        <f t="shared" si="326"/>
        <v>0</v>
      </c>
      <c r="I801" s="9">
        <f t="shared" si="326"/>
        <v>0</v>
      </c>
      <c r="J801" s="9">
        <f t="shared" si="326"/>
        <v>0</v>
      </c>
      <c r="K801" s="9">
        <f>'Учет данных'!K803</f>
        <v>0</v>
      </c>
    </row>
    <row r="802" spans="1:11" x14ac:dyDescent="0.25">
      <c r="A802" s="1" t="s">
        <v>0</v>
      </c>
      <c r="B802" s="7"/>
      <c r="C802" s="7"/>
      <c r="D802" s="7"/>
      <c r="E802" s="7"/>
      <c r="F802" s="7"/>
      <c r="G802" s="7"/>
      <c r="H802" s="7"/>
      <c r="I802" s="7"/>
      <c r="J802" s="7"/>
      <c r="K802" s="7">
        <f t="shared" ref="K802" si="334">SUM(B802:J802)</f>
        <v>0</v>
      </c>
    </row>
    <row r="803" spans="1:11" x14ac:dyDescent="0.25">
      <c r="A803" s="1" t="s">
        <v>1</v>
      </c>
      <c r="B803" s="7"/>
      <c r="C803" s="7"/>
      <c r="D803" s="7"/>
      <c r="E803" s="7"/>
      <c r="F803" s="7"/>
      <c r="G803" s="7"/>
      <c r="H803" s="7"/>
      <c r="I803" s="7"/>
      <c r="J803" s="7"/>
      <c r="K803" s="7">
        <f t="shared" si="320"/>
        <v>0</v>
      </c>
    </row>
    <row r="804" spans="1:11" x14ac:dyDescent="0.25">
      <c r="A804" s="1" t="s">
        <v>2</v>
      </c>
      <c r="B804" s="7"/>
      <c r="C804" s="7"/>
      <c r="D804" s="7"/>
      <c r="E804" s="7"/>
      <c r="F804" s="7"/>
      <c r="G804" s="7"/>
      <c r="H804" s="7"/>
      <c r="I804" s="7"/>
      <c r="J804" s="7"/>
      <c r="K804" s="7">
        <f t="shared" si="320"/>
        <v>0</v>
      </c>
    </row>
    <row r="805" spans="1:11" x14ac:dyDescent="0.25">
      <c r="A805" s="1" t="s">
        <v>3</v>
      </c>
      <c r="B805" s="7"/>
      <c r="C805" s="7"/>
      <c r="D805" s="7"/>
      <c r="E805" s="7"/>
      <c r="F805" s="7"/>
      <c r="G805" s="7"/>
      <c r="H805" s="7"/>
      <c r="I805" s="7"/>
      <c r="J805" s="7"/>
      <c r="K805" s="7">
        <f t="shared" si="320"/>
        <v>0</v>
      </c>
    </row>
    <row r="806" spans="1:11" x14ac:dyDescent="0.25">
      <c r="A806" s="1" t="s">
        <v>4</v>
      </c>
      <c r="B806" s="7"/>
      <c r="C806" s="7"/>
      <c r="D806" s="7"/>
      <c r="E806" s="7"/>
      <c r="F806" s="7"/>
      <c r="G806" s="7"/>
      <c r="H806" s="7"/>
      <c r="I806" s="7"/>
      <c r="J806" s="7"/>
      <c r="K806" s="7">
        <f t="shared" si="320"/>
        <v>0</v>
      </c>
    </row>
    <row r="807" spans="1:11" x14ac:dyDescent="0.25">
      <c r="A807" s="1" t="s">
        <v>5</v>
      </c>
      <c r="B807" s="7"/>
      <c r="C807" s="7"/>
      <c r="D807" s="7"/>
      <c r="E807" s="7"/>
      <c r="F807" s="7"/>
      <c r="G807" s="7"/>
      <c r="H807" s="7"/>
      <c r="I807" s="7"/>
      <c r="J807" s="7"/>
      <c r="K807" s="7">
        <f t="shared" si="320"/>
        <v>0</v>
      </c>
    </row>
    <row r="809" spans="1:11" x14ac:dyDescent="0.25">
      <c r="A809" s="2" t="s">
        <v>15</v>
      </c>
      <c r="B809" s="6"/>
      <c r="C809" s="6"/>
      <c r="D809" s="6"/>
      <c r="E809" s="6"/>
      <c r="F809" s="6"/>
      <c r="G809" s="6"/>
      <c r="H809" s="6"/>
      <c r="I809" s="6"/>
      <c r="J809" s="6"/>
      <c r="K809" s="6">
        <f t="shared" ref="K809:K811" si="335">IF(K802&gt;0,K803/K802,0)</f>
        <v>0</v>
      </c>
    </row>
    <row r="810" spans="1:11" x14ac:dyDescent="0.25">
      <c r="A810" s="2" t="s">
        <v>16</v>
      </c>
      <c r="B810" s="6"/>
      <c r="C810" s="6"/>
      <c r="D810" s="6"/>
      <c r="E810" s="6"/>
      <c r="F810" s="6"/>
      <c r="G810" s="6"/>
      <c r="H810" s="6"/>
      <c r="I810" s="6"/>
      <c r="J810" s="6"/>
      <c r="K810" s="6">
        <f t="shared" si="335"/>
        <v>0</v>
      </c>
    </row>
    <row r="811" spans="1:11" x14ac:dyDescent="0.25">
      <c r="A811" s="2" t="s">
        <v>17</v>
      </c>
      <c r="B811" s="6"/>
      <c r="C811" s="6"/>
      <c r="D811" s="6"/>
      <c r="E811" s="6"/>
      <c r="F811" s="6"/>
      <c r="G811" s="6"/>
      <c r="H811" s="6"/>
      <c r="I811" s="6"/>
      <c r="J811" s="6"/>
      <c r="K811" s="6">
        <f t="shared" si="335"/>
        <v>0</v>
      </c>
    </row>
    <row r="812" spans="1:11" x14ac:dyDescent="0.25">
      <c r="A812" s="2" t="s">
        <v>18</v>
      </c>
      <c r="B812" s="8"/>
      <c r="C812" s="8"/>
      <c r="D812" s="8"/>
      <c r="E812" s="8"/>
      <c r="F812" s="8"/>
      <c r="G812" s="8"/>
      <c r="H812" s="8"/>
      <c r="I812" s="8"/>
      <c r="J812" s="8"/>
      <c r="K812" s="8">
        <f t="shared" ref="K812:K814" si="336">IF(K802&gt;0,K$8/K802,0)</f>
        <v>0</v>
      </c>
    </row>
    <row r="813" spans="1:11" x14ac:dyDescent="0.25">
      <c r="A813" s="2" t="s">
        <v>19</v>
      </c>
      <c r="B813" s="8"/>
      <c r="C813" s="8"/>
      <c r="D813" s="8"/>
      <c r="E813" s="8"/>
      <c r="F813" s="8"/>
      <c r="G813" s="8"/>
      <c r="H813" s="8"/>
      <c r="I813" s="8"/>
      <c r="J813" s="8"/>
      <c r="K813" s="8">
        <f t="shared" si="336"/>
        <v>0</v>
      </c>
    </row>
    <row r="814" spans="1:11" x14ac:dyDescent="0.25">
      <c r="A814" s="2" t="s">
        <v>20</v>
      </c>
      <c r="B814" s="8"/>
      <c r="C814" s="8"/>
      <c r="D814" s="8"/>
      <c r="E814" s="8"/>
      <c r="F814" s="8"/>
      <c r="G814" s="8"/>
      <c r="H814" s="8"/>
      <c r="I814" s="8"/>
      <c r="J814" s="8"/>
      <c r="K814" s="8">
        <f t="shared" si="336"/>
        <v>0</v>
      </c>
    </row>
    <row r="815" spans="1:11" x14ac:dyDescent="0.25">
      <c r="A815" s="2" t="s">
        <v>22</v>
      </c>
      <c r="B815" s="8"/>
      <c r="C815" s="8"/>
      <c r="D815" s="8"/>
      <c r="E815" s="8"/>
      <c r="F815" s="8"/>
      <c r="G815" s="8"/>
      <c r="H815" s="8"/>
      <c r="I815" s="8"/>
      <c r="J815" s="8"/>
      <c r="K815" s="8">
        <f t="shared" ref="K815" si="337">IF(K805&gt;0,K806/K805,0)</f>
        <v>0</v>
      </c>
    </row>
    <row r="816" spans="1:11" x14ac:dyDescent="0.25">
      <c r="A816" s="2" t="s">
        <v>21</v>
      </c>
      <c r="B816" s="8"/>
      <c r="C816" s="8"/>
      <c r="D816" s="8"/>
      <c r="E816" s="8"/>
      <c r="F816" s="8"/>
      <c r="G816" s="8"/>
      <c r="H816" s="8"/>
      <c r="I816" s="8"/>
      <c r="J816" s="8"/>
      <c r="K816" s="8">
        <f t="shared" ref="K816" si="338">IF(K807&gt;0,(K806-K807)/K807,0)</f>
        <v>0</v>
      </c>
    </row>
    <row r="817" spans="1:11" x14ac:dyDescent="0.25">
      <c r="A817" s="2" t="s">
        <v>23</v>
      </c>
      <c r="B817" s="8"/>
      <c r="C817" s="8"/>
      <c r="D817" s="8"/>
      <c r="E817" s="8"/>
      <c r="F817" s="8"/>
      <c r="G817" s="8"/>
      <c r="H817" s="8"/>
      <c r="I817" s="8"/>
      <c r="J817" s="8"/>
      <c r="K817" s="8">
        <f t="shared" ref="K817" si="339">K806-K807</f>
        <v>0</v>
      </c>
    </row>
  </sheetData>
  <sheetProtection password="EA4E" sheet="1" objects="1" scenarios="1"/>
  <mergeCells count="12">
    <mergeCell ref="O1:P1"/>
    <mergeCell ref="Q1:R1"/>
    <mergeCell ref="S1:T1"/>
    <mergeCell ref="U1:V1"/>
    <mergeCell ref="W1:X1"/>
    <mergeCell ref="AK1:AL1"/>
    <mergeCell ref="Y1:Z1"/>
    <mergeCell ref="AA1:AB1"/>
    <mergeCell ref="AC1:AD1"/>
    <mergeCell ref="AE1:AF1"/>
    <mergeCell ref="AG1:AH1"/>
    <mergeCell ref="AI1:A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49"/>
  <sheetViews>
    <sheetView workbookViewId="0">
      <selection activeCell="G16" sqref="G16"/>
    </sheetView>
  </sheetViews>
  <sheetFormatPr defaultRowHeight="15" x14ac:dyDescent="0.25"/>
  <cols>
    <col min="2" max="2" width="16.140625" bestFit="1" customWidth="1"/>
    <col min="3" max="3" width="27.28515625" customWidth="1"/>
    <col min="8" max="8" width="17.5703125" customWidth="1"/>
  </cols>
  <sheetData>
    <row r="1" spans="1:15" x14ac:dyDescent="0.25">
      <c r="A1" t="s">
        <v>96</v>
      </c>
      <c r="B1" t="s">
        <v>47</v>
      </c>
      <c r="C1" t="s">
        <v>26</v>
      </c>
      <c r="D1" t="s">
        <v>97</v>
      </c>
      <c r="E1" t="s">
        <v>97</v>
      </c>
      <c r="G1">
        <v>1</v>
      </c>
      <c r="H1" s="1" t="s">
        <v>0</v>
      </c>
      <c r="I1">
        <v>1</v>
      </c>
      <c r="N1" t="s">
        <v>97</v>
      </c>
    </row>
    <row r="2" spans="1:15" x14ac:dyDescent="0.25">
      <c r="A2">
        <v>1</v>
      </c>
      <c r="B2" s="5" t="s">
        <v>48</v>
      </c>
      <c r="C2" s="5" t="s">
        <v>166</v>
      </c>
      <c r="D2">
        <v>1</v>
      </c>
      <c r="E2" t="str">
        <f>LEFT(B2,SEARCH(" ",B2)-1)</f>
        <v>Январь</v>
      </c>
      <c r="G2">
        <v>2</v>
      </c>
      <c r="H2" s="1" t="s">
        <v>1</v>
      </c>
      <c r="I2">
        <v>2</v>
      </c>
      <c r="M2">
        <v>1</v>
      </c>
      <c r="N2" t="s">
        <v>104</v>
      </c>
      <c r="O2">
        <v>1</v>
      </c>
    </row>
    <row r="3" spans="1:15" x14ac:dyDescent="0.25">
      <c r="A3">
        <v>2</v>
      </c>
      <c r="B3" s="5" t="s">
        <v>49</v>
      </c>
      <c r="C3" s="5" t="s">
        <v>165</v>
      </c>
      <c r="D3">
        <v>1</v>
      </c>
      <c r="E3" t="str">
        <f t="shared" ref="E3:E49" si="0">LEFT(B3,SEARCH(" ",B3)-1)</f>
        <v>Январь</v>
      </c>
      <c r="G3">
        <v>3</v>
      </c>
      <c r="H3" s="1" t="s">
        <v>2</v>
      </c>
      <c r="I3">
        <v>3</v>
      </c>
      <c r="M3">
        <v>2</v>
      </c>
      <c r="N3" t="s">
        <v>105</v>
      </c>
      <c r="O3">
        <v>2</v>
      </c>
    </row>
    <row r="4" spans="1:15" x14ac:dyDescent="0.25">
      <c r="A4">
        <v>3</v>
      </c>
      <c r="B4" s="5" t="s">
        <v>50</v>
      </c>
      <c r="C4" s="5" t="s">
        <v>167</v>
      </c>
      <c r="D4">
        <v>1</v>
      </c>
      <c r="E4" t="str">
        <f t="shared" si="0"/>
        <v>Январь</v>
      </c>
      <c r="G4">
        <v>4</v>
      </c>
      <c r="H4" s="1" t="s">
        <v>3</v>
      </c>
      <c r="I4">
        <v>4</v>
      </c>
      <c r="M4">
        <v>3</v>
      </c>
      <c r="N4" t="s">
        <v>106</v>
      </c>
      <c r="O4">
        <v>3</v>
      </c>
    </row>
    <row r="5" spans="1:15" x14ac:dyDescent="0.25">
      <c r="A5">
        <v>4</v>
      </c>
      <c r="B5" s="5" t="s">
        <v>51</v>
      </c>
      <c r="C5" s="5" t="s">
        <v>168</v>
      </c>
      <c r="D5">
        <v>1</v>
      </c>
      <c r="E5" t="str">
        <f t="shared" si="0"/>
        <v>Январь</v>
      </c>
      <c r="G5">
        <v>5</v>
      </c>
      <c r="H5" s="1" t="s">
        <v>4</v>
      </c>
      <c r="I5">
        <v>5</v>
      </c>
      <c r="J5" t="s">
        <v>220</v>
      </c>
      <c r="M5">
        <v>4</v>
      </c>
      <c r="N5" t="s">
        <v>107</v>
      </c>
      <c r="O5">
        <v>4</v>
      </c>
    </row>
    <row r="6" spans="1:15" x14ac:dyDescent="0.25">
      <c r="A6">
        <v>5</v>
      </c>
      <c r="B6" s="5" t="s">
        <v>52</v>
      </c>
      <c r="C6" s="5" t="s">
        <v>169</v>
      </c>
      <c r="D6">
        <v>2</v>
      </c>
      <c r="E6" t="str">
        <f t="shared" si="0"/>
        <v>Февраль</v>
      </c>
      <c r="G6">
        <v>6</v>
      </c>
      <c r="H6" s="1" t="s">
        <v>5</v>
      </c>
      <c r="I6">
        <v>6</v>
      </c>
      <c r="J6" t="s">
        <v>220</v>
      </c>
      <c r="M6">
        <v>5</v>
      </c>
      <c r="N6" t="s">
        <v>108</v>
      </c>
      <c r="O6">
        <v>5</v>
      </c>
    </row>
    <row r="7" spans="1:15" x14ac:dyDescent="0.25">
      <c r="A7">
        <v>6</v>
      </c>
      <c r="B7" s="5" t="s">
        <v>53</v>
      </c>
      <c r="C7" s="5" t="s">
        <v>170</v>
      </c>
      <c r="D7">
        <v>2</v>
      </c>
      <c r="E7" t="str">
        <f t="shared" si="0"/>
        <v>Февраль</v>
      </c>
      <c r="G7">
        <v>7</v>
      </c>
      <c r="H7" s="2" t="s">
        <v>225</v>
      </c>
      <c r="I7">
        <v>8</v>
      </c>
      <c r="J7" t="s">
        <v>101</v>
      </c>
      <c r="M7">
        <v>6</v>
      </c>
      <c r="N7" t="s">
        <v>109</v>
      </c>
      <c r="O7">
        <v>6</v>
      </c>
    </row>
    <row r="8" spans="1:15" x14ac:dyDescent="0.25">
      <c r="A8">
        <v>7</v>
      </c>
      <c r="B8" s="5" t="s">
        <v>54</v>
      </c>
      <c r="C8" s="5" t="s">
        <v>171</v>
      </c>
      <c r="D8">
        <v>2</v>
      </c>
      <c r="E8" t="str">
        <f t="shared" si="0"/>
        <v>Февраль</v>
      </c>
      <c r="G8">
        <v>8</v>
      </c>
      <c r="H8" s="2" t="s">
        <v>222</v>
      </c>
      <c r="I8">
        <v>9</v>
      </c>
      <c r="J8" t="s">
        <v>101</v>
      </c>
      <c r="M8">
        <v>7</v>
      </c>
      <c r="N8" t="s">
        <v>110</v>
      </c>
      <c r="O8">
        <v>7</v>
      </c>
    </row>
    <row r="9" spans="1:15" x14ac:dyDescent="0.25">
      <c r="A9">
        <v>8</v>
      </c>
      <c r="B9" s="5" t="s">
        <v>55</v>
      </c>
      <c r="C9" s="5" t="s">
        <v>172</v>
      </c>
      <c r="D9">
        <v>2</v>
      </c>
      <c r="E9" t="str">
        <f t="shared" si="0"/>
        <v>Февраль</v>
      </c>
      <c r="G9">
        <v>9</v>
      </c>
      <c r="H9" s="2" t="s">
        <v>223</v>
      </c>
      <c r="I9">
        <v>10</v>
      </c>
      <c r="J9" t="s">
        <v>101</v>
      </c>
      <c r="M9">
        <v>8</v>
      </c>
      <c r="N9" t="s">
        <v>111</v>
      </c>
      <c r="O9">
        <v>8</v>
      </c>
    </row>
    <row r="10" spans="1:15" x14ac:dyDescent="0.25">
      <c r="A10">
        <v>9</v>
      </c>
      <c r="B10" s="5" t="s">
        <v>56</v>
      </c>
      <c r="C10" s="5" t="s">
        <v>173</v>
      </c>
      <c r="D10">
        <v>3</v>
      </c>
      <c r="E10" t="str">
        <f t="shared" si="0"/>
        <v>Март</v>
      </c>
      <c r="G10">
        <v>10</v>
      </c>
      <c r="H10" s="2" t="s">
        <v>18</v>
      </c>
      <c r="I10">
        <v>11</v>
      </c>
      <c r="J10" t="s">
        <v>132</v>
      </c>
      <c r="M10">
        <v>9</v>
      </c>
      <c r="N10" t="s">
        <v>112</v>
      </c>
      <c r="O10">
        <v>9</v>
      </c>
    </row>
    <row r="11" spans="1:15" x14ac:dyDescent="0.25">
      <c r="A11">
        <v>10</v>
      </c>
      <c r="B11" s="5" t="s">
        <v>57</v>
      </c>
      <c r="C11" s="5" t="s">
        <v>174</v>
      </c>
      <c r="D11">
        <v>3</v>
      </c>
      <c r="E11" t="str">
        <f t="shared" si="0"/>
        <v>Март</v>
      </c>
      <c r="G11">
        <v>11</v>
      </c>
      <c r="H11" s="2" t="s">
        <v>19</v>
      </c>
      <c r="I11">
        <v>12</v>
      </c>
      <c r="J11" t="s">
        <v>132</v>
      </c>
      <c r="M11">
        <v>10</v>
      </c>
      <c r="N11" t="s">
        <v>113</v>
      </c>
      <c r="O11">
        <v>10</v>
      </c>
    </row>
    <row r="12" spans="1:15" x14ac:dyDescent="0.25">
      <c r="A12">
        <v>11</v>
      </c>
      <c r="B12" s="5" t="s">
        <v>58</v>
      </c>
      <c r="C12" s="5" t="s">
        <v>175</v>
      </c>
      <c r="D12">
        <v>3</v>
      </c>
      <c r="E12" t="str">
        <f t="shared" si="0"/>
        <v>Март</v>
      </c>
      <c r="G12">
        <v>12</v>
      </c>
      <c r="H12" s="2" t="s">
        <v>20</v>
      </c>
      <c r="I12">
        <v>13</v>
      </c>
      <c r="J12" t="s">
        <v>132</v>
      </c>
      <c r="M12">
        <v>11</v>
      </c>
      <c r="N12" t="s">
        <v>114</v>
      </c>
      <c r="O12">
        <v>11</v>
      </c>
    </row>
    <row r="13" spans="1:15" x14ac:dyDescent="0.25">
      <c r="A13">
        <v>12</v>
      </c>
      <c r="B13" s="5" t="s">
        <v>59</v>
      </c>
      <c r="C13" s="5" t="s">
        <v>176</v>
      </c>
      <c r="D13">
        <v>3</v>
      </c>
      <c r="E13" t="str">
        <f t="shared" si="0"/>
        <v>Март</v>
      </c>
      <c r="G13">
        <v>13</v>
      </c>
      <c r="H13" s="2" t="s">
        <v>22</v>
      </c>
      <c r="I13">
        <v>14</v>
      </c>
      <c r="J13" t="s">
        <v>220</v>
      </c>
      <c r="M13">
        <v>12</v>
      </c>
      <c r="N13" t="s">
        <v>115</v>
      </c>
      <c r="O13">
        <v>12</v>
      </c>
    </row>
    <row r="14" spans="1:15" x14ac:dyDescent="0.25">
      <c r="A14">
        <v>13</v>
      </c>
      <c r="B14" s="5" t="s">
        <v>60</v>
      </c>
      <c r="C14" s="5" t="s">
        <v>177</v>
      </c>
      <c r="D14">
        <v>4</v>
      </c>
      <c r="E14" t="str">
        <f t="shared" si="0"/>
        <v>Апрель</v>
      </c>
      <c r="G14">
        <v>14</v>
      </c>
      <c r="H14" s="2" t="s">
        <v>21</v>
      </c>
      <c r="I14">
        <v>15</v>
      </c>
      <c r="J14" t="s">
        <v>219</v>
      </c>
    </row>
    <row r="15" spans="1:15" x14ac:dyDescent="0.25">
      <c r="A15">
        <v>14</v>
      </c>
      <c r="B15" s="5" t="s">
        <v>61</v>
      </c>
      <c r="C15" s="5" t="s">
        <v>178</v>
      </c>
      <c r="D15">
        <v>4</v>
      </c>
      <c r="E15" t="str">
        <f t="shared" si="0"/>
        <v>Апрель</v>
      </c>
      <c r="G15">
        <v>15</v>
      </c>
      <c r="H15" s="2" t="s">
        <v>23</v>
      </c>
      <c r="I15">
        <v>16</v>
      </c>
      <c r="J15" t="s">
        <v>220</v>
      </c>
    </row>
    <row r="16" spans="1:15" x14ac:dyDescent="0.25">
      <c r="A16">
        <v>15</v>
      </c>
      <c r="B16" s="5" t="s">
        <v>62</v>
      </c>
      <c r="C16" s="5" t="s">
        <v>179</v>
      </c>
      <c r="D16">
        <v>4</v>
      </c>
      <c r="E16" t="str">
        <f t="shared" si="0"/>
        <v>Апрель</v>
      </c>
    </row>
    <row r="17" spans="1:5" x14ac:dyDescent="0.25">
      <c r="A17">
        <v>16</v>
      </c>
      <c r="B17" s="5" t="s">
        <v>63</v>
      </c>
      <c r="C17" s="5" t="s">
        <v>180</v>
      </c>
      <c r="D17">
        <v>4</v>
      </c>
      <c r="E17" t="str">
        <f t="shared" si="0"/>
        <v>Апрель</v>
      </c>
    </row>
    <row r="18" spans="1:5" x14ac:dyDescent="0.25">
      <c r="A18">
        <v>17</v>
      </c>
      <c r="B18" s="5" t="s">
        <v>64</v>
      </c>
      <c r="C18" s="5" t="s">
        <v>181</v>
      </c>
      <c r="D18">
        <v>5</v>
      </c>
      <c r="E18" t="str">
        <f t="shared" si="0"/>
        <v>Май</v>
      </c>
    </row>
    <row r="19" spans="1:5" x14ac:dyDescent="0.25">
      <c r="A19">
        <v>18</v>
      </c>
      <c r="B19" s="5" t="s">
        <v>65</v>
      </c>
      <c r="C19" s="5" t="s">
        <v>182</v>
      </c>
      <c r="D19">
        <v>5</v>
      </c>
      <c r="E19" t="str">
        <f t="shared" si="0"/>
        <v>Май</v>
      </c>
    </row>
    <row r="20" spans="1:5" x14ac:dyDescent="0.25">
      <c r="A20">
        <v>19</v>
      </c>
      <c r="B20" s="5" t="s">
        <v>66</v>
      </c>
      <c r="C20" s="5" t="s">
        <v>183</v>
      </c>
      <c r="D20">
        <v>5</v>
      </c>
      <c r="E20" t="str">
        <f t="shared" si="0"/>
        <v>Май</v>
      </c>
    </row>
    <row r="21" spans="1:5" x14ac:dyDescent="0.25">
      <c r="A21">
        <v>20</v>
      </c>
      <c r="B21" s="5" t="s">
        <v>67</v>
      </c>
      <c r="C21" s="5" t="s">
        <v>184</v>
      </c>
      <c r="D21">
        <v>5</v>
      </c>
      <c r="E21" t="str">
        <f t="shared" si="0"/>
        <v>Май</v>
      </c>
    </row>
    <row r="22" spans="1:5" x14ac:dyDescent="0.25">
      <c r="A22">
        <v>21</v>
      </c>
      <c r="B22" s="5" t="s">
        <v>68</v>
      </c>
      <c r="C22" s="5" t="s">
        <v>185</v>
      </c>
      <c r="D22">
        <v>6</v>
      </c>
      <c r="E22" t="str">
        <f t="shared" si="0"/>
        <v>Июнь</v>
      </c>
    </row>
    <row r="23" spans="1:5" x14ac:dyDescent="0.25">
      <c r="A23">
        <v>22</v>
      </c>
      <c r="B23" s="5" t="s">
        <v>69</v>
      </c>
      <c r="C23" s="5" t="s">
        <v>186</v>
      </c>
      <c r="D23">
        <v>6</v>
      </c>
      <c r="E23" t="str">
        <f t="shared" si="0"/>
        <v>Июнь</v>
      </c>
    </row>
    <row r="24" spans="1:5" x14ac:dyDescent="0.25">
      <c r="A24">
        <v>23</v>
      </c>
      <c r="B24" s="5" t="s">
        <v>70</v>
      </c>
      <c r="C24" s="5" t="s">
        <v>187</v>
      </c>
      <c r="D24">
        <v>6</v>
      </c>
      <c r="E24" t="str">
        <f t="shared" si="0"/>
        <v>Июнь</v>
      </c>
    </row>
    <row r="25" spans="1:5" x14ac:dyDescent="0.25">
      <c r="A25">
        <v>24</v>
      </c>
      <c r="B25" s="5" t="s">
        <v>71</v>
      </c>
      <c r="C25" s="5" t="s">
        <v>188</v>
      </c>
      <c r="D25">
        <v>6</v>
      </c>
      <c r="E25" t="str">
        <f t="shared" si="0"/>
        <v>Июнь</v>
      </c>
    </row>
    <row r="26" spans="1:5" x14ac:dyDescent="0.25">
      <c r="A26">
        <v>25</v>
      </c>
      <c r="B26" s="5" t="s">
        <v>72</v>
      </c>
      <c r="C26" s="5" t="s">
        <v>189</v>
      </c>
      <c r="D26">
        <v>7</v>
      </c>
      <c r="E26" t="str">
        <f t="shared" si="0"/>
        <v>Июль</v>
      </c>
    </row>
    <row r="27" spans="1:5" x14ac:dyDescent="0.25">
      <c r="A27">
        <v>26</v>
      </c>
      <c r="B27" s="5" t="s">
        <v>73</v>
      </c>
      <c r="C27" s="5" t="s">
        <v>190</v>
      </c>
      <c r="D27">
        <v>7</v>
      </c>
      <c r="E27" t="str">
        <f t="shared" si="0"/>
        <v>Июль</v>
      </c>
    </row>
    <row r="28" spans="1:5" x14ac:dyDescent="0.25">
      <c r="A28">
        <v>27</v>
      </c>
      <c r="B28" s="5" t="s">
        <v>74</v>
      </c>
      <c r="C28" s="5" t="s">
        <v>191</v>
      </c>
      <c r="D28">
        <v>7</v>
      </c>
      <c r="E28" t="str">
        <f t="shared" si="0"/>
        <v>Июль</v>
      </c>
    </row>
    <row r="29" spans="1:5" x14ac:dyDescent="0.25">
      <c r="A29">
        <v>28</v>
      </c>
      <c r="B29" s="5" t="s">
        <v>75</v>
      </c>
      <c r="C29" s="5" t="s">
        <v>192</v>
      </c>
      <c r="D29">
        <v>7</v>
      </c>
      <c r="E29" t="str">
        <f t="shared" si="0"/>
        <v>Июль</v>
      </c>
    </row>
    <row r="30" spans="1:5" x14ac:dyDescent="0.25">
      <c r="A30">
        <v>29</v>
      </c>
      <c r="B30" s="5" t="s">
        <v>76</v>
      </c>
      <c r="C30" s="5" t="s">
        <v>193</v>
      </c>
      <c r="D30">
        <v>8</v>
      </c>
      <c r="E30" t="str">
        <f t="shared" si="0"/>
        <v>Август</v>
      </c>
    </row>
    <row r="31" spans="1:5" x14ac:dyDescent="0.25">
      <c r="A31">
        <v>30</v>
      </c>
      <c r="B31" s="5" t="s">
        <v>77</v>
      </c>
      <c r="C31" s="5" t="s">
        <v>194</v>
      </c>
      <c r="D31">
        <v>8</v>
      </c>
      <c r="E31" t="str">
        <f t="shared" si="0"/>
        <v>Август</v>
      </c>
    </row>
    <row r="32" spans="1:5" x14ac:dyDescent="0.25">
      <c r="A32">
        <v>31</v>
      </c>
      <c r="B32" s="5" t="s">
        <v>78</v>
      </c>
      <c r="C32" s="5" t="s">
        <v>195</v>
      </c>
      <c r="D32">
        <v>8</v>
      </c>
      <c r="E32" t="str">
        <f t="shared" si="0"/>
        <v>Август</v>
      </c>
    </row>
    <row r="33" spans="1:5" x14ac:dyDescent="0.25">
      <c r="A33">
        <v>32</v>
      </c>
      <c r="B33" s="5" t="s">
        <v>79</v>
      </c>
      <c r="C33" s="5" t="s">
        <v>196</v>
      </c>
      <c r="D33">
        <v>8</v>
      </c>
      <c r="E33" t="str">
        <f t="shared" si="0"/>
        <v>Август</v>
      </c>
    </row>
    <row r="34" spans="1:5" x14ac:dyDescent="0.25">
      <c r="A34">
        <v>33</v>
      </c>
      <c r="B34" s="5" t="s">
        <v>80</v>
      </c>
      <c r="C34" s="5" t="s">
        <v>197</v>
      </c>
      <c r="D34">
        <v>9</v>
      </c>
      <c r="E34" t="str">
        <f t="shared" si="0"/>
        <v>Сентябрь</v>
      </c>
    </row>
    <row r="35" spans="1:5" x14ac:dyDescent="0.25">
      <c r="A35">
        <v>34</v>
      </c>
      <c r="B35" s="5" t="s">
        <v>81</v>
      </c>
      <c r="C35" s="5" t="s">
        <v>198</v>
      </c>
      <c r="D35">
        <v>9</v>
      </c>
      <c r="E35" t="str">
        <f t="shared" si="0"/>
        <v>Сентябрь</v>
      </c>
    </row>
    <row r="36" spans="1:5" x14ac:dyDescent="0.25">
      <c r="A36">
        <v>35</v>
      </c>
      <c r="B36" s="5" t="s">
        <v>82</v>
      </c>
      <c r="C36" s="5" t="s">
        <v>199</v>
      </c>
      <c r="D36">
        <v>9</v>
      </c>
      <c r="E36" t="str">
        <f t="shared" si="0"/>
        <v>Сентябрь</v>
      </c>
    </row>
    <row r="37" spans="1:5" x14ac:dyDescent="0.25">
      <c r="A37">
        <v>36</v>
      </c>
      <c r="B37" s="5" t="s">
        <v>83</v>
      </c>
      <c r="C37" s="5" t="s">
        <v>200</v>
      </c>
      <c r="D37">
        <v>9</v>
      </c>
      <c r="E37" t="str">
        <f t="shared" si="0"/>
        <v>Сентябрь</v>
      </c>
    </row>
    <row r="38" spans="1:5" x14ac:dyDescent="0.25">
      <c r="A38">
        <v>37</v>
      </c>
      <c r="B38" s="5" t="s">
        <v>84</v>
      </c>
      <c r="C38" s="5" t="s">
        <v>201</v>
      </c>
      <c r="D38">
        <v>10</v>
      </c>
      <c r="E38" t="str">
        <f t="shared" si="0"/>
        <v>Октябрь</v>
      </c>
    </row>
    <row r="39" spans="1:5" x14ac:dyDescent="0.25">
      <c r="A39">
        <v>38</v>
      </c>
      <c r="B39" s="5" t="s">
        <v>85</v>
      </c>
      <c r="C39" s="5" t="s">
        <v>202</v>
      </c>
      <c r="D39">
        <v>10</v>
      </c>
      <c r="E39" t="str">
        <f t="shared" si="0"/>
        <v>Октябрь</v>
      </c>
    </row>
    <row r="40" spans="1:5" x14ac:dyDescent="0.25">
      <c r="A40">
        <v>39</v>
      </c>
      <c r="B40" s="5" t="s">
        <v>86</v>
      </c>
      <c r="C40" s="5" t="s">
        <v>203</v>
      </c>
      <c r="D40">
        <v>10</v>
      </c>
      <c r="E40" t="str">
        <f t="shared" si="0"/>
        <v>Октябрь</v>
      </c>
    </row>
    <row r="41" spans="1:5" x14ac:dyDescent="0.25">
      <c r="A41">
        <v>40</v>
      </c>
      <c r="B41" s="5" t="s">
        <v>87</v>
      </c>
      <c r="C41" s="5" t="s">
        <v>204</v>
      </c>
      <c r="D41">
        <v>10</v>
      </c>
      <c r="E41" t="str">
        <f t="shared" si="0"/>
        <v>Октябрь</v>
      </c>
    </row>
    <row r="42" spans="1:5" x14ac:dyDescent="0.25">
      <c r="A42">
        <v>41</v>
      </c>
      <c r="B42" s="5" t="s">
        <v>88</v>
      </c>
      <c r="C42" s="5" t="s">
        <v>205</v>
      </c>
      <c r="D42">
        <v>11</v>
      </c>
      <c r="E42" t="str">
        <f t="shared" si="0"/>
        <v>Ноябрь</v>
      </c>
    </row>
    <row r="43" spans="1:5" x14ac:dyDescent="0.25">
      <c r="A43">
        <v>42</v>
      </c>
      <c r="B43" s="5" t="s">
        <v>89</v>
      </c>
      <c r="C43" s="5" t="s">
        <v>206</v>
      </c>
      <c r="D43">
        <v>11</v>
      </c>
      <c r="E43" t="str">
        <f t="shared" si="0"/>
        <v>Ноябрь</v>
      </c>
    </row>
    <row r="44" spans="1:5" x14ac:dyDescent="0.25">
      <c r="A44">
        <v>43</v>
      </c>
      <c r="B44" s="5" t="s">
        <v>90</v>
      </c>
      <c r="C44" s="5" t="s">
        <v>207</v>
      </c>
      <c r="D44">
        <v>11</v>
      </c>
      <c r="E44" t="str">
        <f t="shared" si="0"/>
        <v>Ноябрь</v>
      </c>
    </row>
    <row r="45" spans="1:5" x14ac:dyDescent="0.25">
      <c r="A45">
        <v>44</v>
      </c>
      <c r="B45" s="5" t="s">
        <v>91</v>
      </c>
      <c r="C45" s="5" t="s">
        <v>208</v>
      </c>
      <c r="D45">
        <v>11</v>
      </c>
      <c r="E45" t="str">
        <f t="shared" si="0"/>
        <v>Ноябрь</v>
      </c>
    </row>
    <row r="46" spans="1:5" x14ac:dyDescent="0.25">
      <c r="A46">
        <v>45</v>
      </c>
      <c r="B46" s="5" t="s">
        <v>92</v>
      </c>
      <c r="C46" s="5" t="s">
        <v>209</v>
      </c>
      <c r="D46">
        <v>12</v>
      </c>
      <c r="E46" t="str">
        <f t="shared" si="0"/>
        <v>Декабрь</v>
      </c>
    </row>
    <row r="47" spans="1:5" x14ac:dyDescent="0.25">
      <c r="A47">
        <v>46</v>
      </c>
      <c r="B47" s="5" t="s">
        <v>93</v>
      </c>
      <c r="C47" s="5" t="s">
        <v>210</v>
      </c>
      <c r="D47">
        <v>12</v>
      </c>
      <c r="E47" t="str">
        <f t="shared" si="0"/>
        <v>Декабрь</v>
      </c>
    </row>
    <row r="48" spans="1:5" x14ac:dyDescent="0.25">
      <c r="A48">
        <v>47</v>
      </c>
      <c r="B48" s="5" t="s">
        <v>94</v>
      </c>
      <c r="C48" s="5" t="s">
        <v>211</v>
      </c>
      <c r="D48">
        <v>12</v>
      </c>
      <c r="E48" t="str">
        <f t="shared" si="0"/>
        <v>Декабрь</v>
      </c>
    </row>
    <row r="49" spans="1:5" x14ac:dyDescent="0.25">
      <c r="A49">
        <v>48</v>
      </c>
      <c r="B49" s="5" t="s">
        <v>95</v>
      </c>
      <c r="C49" s="5" t="s">
        <v>212</v>
      </c>
      <c r="D49">
        <v>12</v>
      </c>
      <c r="E49" t="str">
        <f t="shared" si="0"/>
        <v>Декабрь</v>
      </c>
    </row>
  </sheetData>
  <sheetProtection password="EA4E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252</v>
      </c>
      <c r="B1">
        <v>1</v>
      </c>
    </row>
    <row r="2" spans="1:2" x14ac:dyDescent="0.25">
      <c r="A2" t="s">
        <v>253</v>
      </c>
      <c r="B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Учет данных</vt:lpstr>
      <vt:lpstr>Статистика</vt:lpstr>
      <vt:lpstr>Прогнозирование</vt:lpstr>
      <vt:lpstr>БД</vt:lpstr>
      <vt:lpstr>Справочник</vt:lpstr>
      <vt:lpstr>for_code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truejacko</dc:creator>
  <cp:lastModifiedBy>truejacko</cp:lastModifiedBy>
  <dcterms:created xsi:type="dcterms:W3CDTF">2016-01-08T11:20:31Z</dcterms:created>
  <dcterms:modified xsi:type="dcterms:W3CDTF">2016-02-23T19:43:05Z</dcterms:modified>
</cp:coreProperties>
</file>